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727"/>
  <workbookPr defaultThemeVersion="124226"/>
  <mc:AlternateContent xmlns:mc="http://schemas.openxmlformats.org/markup-compatibility/2006">
    <mc:Choice Requires="x15">
      <x15ac:absPath xmlns:x15ac="http://schemas.microsoft.com/office/spreadsheetml/2010/11/ac" url="C:\Users\Msofi\Google Drive\1-JM Engenharia\5-Licitações\Itarana\Passarela + Quadra\Passarela\REVISÃO 05 - 30-05-2019\Orçamento\"/>
    </mc:Choice>
  </mc:AlternateContent>
  <xr:revisionPtr revIDLastSave="0" documentId="13_ncr:1_{DE33CA8B-E6D8-47BB-B75D-417CAB73B2D8}" xr6:coauthVersionLast="43" xr6:coauthVersionMax="43" xr10:uidLastSave="{00000000-0000-0000-0000-000000000000}"/>
  <bookViews>
    <workbookView xWindow="-108" yWindow="-108" windowWidth="23256" windowHeight="12576" tabRatio="583" xr2:uid="{00000000-000D-0000-FFFF-FFFF00000000}"/>
  </bookViews>
  <sheets>
    <sheet name="Resumo" sheetId="8" r:id="rId1"/>
    <sheet name="Planilha Orçamentária" sheetId="1" r:id="rId2"/>
    <sheet name="Memória de cálculo" sheetId="12" r:id="rId3"/>
    <sheet name="Cronograma" sheetId="4" r:id="rId4"/>
    <sheet name="COMPOSIÇÕES (2)" sheetId="19" r:id="rId5"/>
    <sheet name="Detalhamento do BDI" sheetId="15" r:id="rId6"/>
  </sheets>
  <externalReferences>
    <externalReference r:id="rId7"/>
    <externalReference r:id="rId8"/>
  </externalReferences>
  <definedNames>
    <definedName name="\a" localSheetId="4">#REF!</definedName>
    <definedName name="\a">#REF!</definedName>
    <definedName name="_xlnm._FilterDatabase" localSheetId="4" hidden="1">'COMPOSIÇÕES (2)'!$A$1:$A$159</definedName>
    <definedName name="aaa" localSheetId="4">#REF!</definedName>
    <definedName name="aaa">#REF!</definedName>
    <definedName name="_xlnm.Print_Area" localSheetId="4">'COMPOSIÇÕES (2)'!$A$1:$F$159</definedName>
    <definedName name="_xlnm.Print_Area" localSheetId="3">Cronograma!$A$1:$H$27</definedName>
    <definedName name="_xlnm.Print_Area" localSheetId="5">'Detalhamento do BDI'!$A$1:$D$40</definedName>
    <definedName name="_xlnm.Print_Area" localSheetId="2">'Memória de cálculo'!$A$1:$I$117</definedName>
    <definedName name="_xlnm.Print_Area" localSheetId="1">'Planilha Orçamentária'!$A$1:$H$63</definedName>
    <definedName name="_xlnm.Print_Area" localSheetId="0">Resumo!$A$1:$H$25</definedName>
    <definedName name="_xlnm.Database" localSheetId="4">#REF!</definedName>
    <definedName name="_xlnm.Database">#REF!</definedName>
    <definedName name="das" localSheetId="4">#REF!</definedName>
    <definedName name="das">#REF!</definedName>
    <definedName name="dasdasdas" localSheetId="4">#REF!</definedName>
    <definedName name="dasdasdas">#REF!</definedName>
    <definedName name="Excel_BuiltIn_Print_Area_2_1">"$#REF!.$A$1:$J$410"</definedName>
    <definedName name="Excel_BuiltIn_Print_Area_3_1" localSheetId="4">#REF!</definedName>
    <definedName name="Excel_BuiltIn_Print_Area_3_1">#REF!</definedName>
    <definedName name="Excel_BuiltIn_Print_Area_3_1_1" localSheetId="4">#REF!</definedName>
    <definedName name="Excel_BuiltIn_Print_Area_3_1_1">#REF!</definedName>
    <definedName name="Excel_BuiltIn_Print_Area_4" localSheetId="4">#REF!</definedName>
    <definedName name="Excel_BuiltIn_Print_Area_4">#REF!</definedName>
    <definedName name="Excel_BuiltIn_Print_Titles_1_1">"$#REF!.$A$1:$AMJ$3"</definedName>
    <definedName name="Excel_BuiltIn_Print_Titles_2">"$#REF!.$A$1:$AMJ$2"</definedName>
    <definedName name="mediçao">[1]RESUMO!$M$2</definedName>
    <definedName name="p" localSheetId="4">#REF!</definedName>
    <definedName name="p">#REF!</definedName>
    <definedName name="Print_Area_MI" localSheetId="4">#REF!</definedName>
    <definedName name="Print_Area_MI">#REF!</definedName>
    <definedName name="PRINT_TITLES_MI" localSheetId="4">#REF!</definedName>
    <definedName name="PRINT_TITLES_MI">#REF!</definedName>
    <definedName name="Reajuste" localSheetId="4">#REF!</definedName>
    <definedName name="Reajuste">#REF!</definedName>
    <definedName name="TABLE_1_1">NA()</definedName>
    <definedName name="TABLE_1_7">NA()</definedName>
    <definedName name="TABLE_2_1_1">NA()</definedName>
    <definedName name="TABLE_2_1_7">NA()</definedName>
    <definedName name="_xlnm.Print_Titles" localSheetId="2">'Memória de cálculo'!$1:$5</definedName>
    <definedName name="_xlnm.Print_Titles" localSheetId="1">'Planilha Orçamentária'!$1:$5</definedName>
    <definedName name="VB1.0" localSheetId="4">#REF!</definedName>
    <definedName name="VB1.0">#REF!</definedName>
    <definedName name="VB1.1" localSheetId="4">#REF!</definedName>
    <definedName name="VB1.1">#REF!</definedName>
    <definedName name="VB1.3" localSheetId="4">#REF!</definedName>
    <definedName name="VB1.3">#REF!</definedName>
    <definedName name="VB2.0" localSheetId="4">#REF!</definedName>
    <definedName name="VB2.0">#REF!</definedName>
    <definedName name="VB2.1" localSheetId="4">#REF!</definedName>
    <definedName name="VB2.1">#REF!</definedName>
    <definedName name="VB2.10" localSheetId="4">#REF!</definedName>
    <definedName name="VB2.10">#REF!</definedName>
    <definedName name="VB2.2" localSheetId="4">#REF!</definedName>
    <definedName name="VB2.2">#REF!</definedName>
    <definedName name="VB2.3" localSheetId="4">#REF!</definedName>
    <definedName name="VB2.3">#REF!</definedName>
    <definedName name="VB2.4" localSheetId="4">#REF!</definedName>
    <definedName name="VB2.4">#REF!</definedName>
    <definedName name="VB2.5" localSheetId="4">#REF!</definedName>
    <definedName name="VB2.5">#REF!</definedName>
    <definedName name="VB2.6" localSheetId="4">#REF!</definedName>
    <definedName name="VB2.6">#REF!</definedName>
    <definedName name="VB2.7" localSheetId="4">#REF!</definedName>
    <definedName name="VB2.7">#REF!</definedName>
    <definedName name="VB2.8" localSheetId="4">#REF!</definedName>
    <definedName name="VB2.8">#REF!</definedName>
    <definedName name="VB2.9" localSheetId="4">#REF!</definedName>
    <definedName name="VB2.9">#REF!</definedName>
    <definedName name="VB3.0" localSheetId="4">#REF!</definedName>
    <definedName name="VB3.0">#REF!</definedName>
    <definedName name="VB3.1" localSheetId="4">#REF!</definedName>
    <definedName name="VB3.1">#REF!</definedName>
    <definedName name="VB3.2" localSheetId="4">#REF!</definedName>
    <definedName name="VB3.2">#REF!</definedName>
    <definedName name="VB3.3" localSheetId="4">#REF!</definedName>
    <definedName name="VB3.3">#REF!</definedName>
    <definedName name="VB3.4" localSheetId="4">#REF!</definedName>
    <definedName name="VB3.4">#REF!</definedName>
    <definedName name="VB3.5" localSheetId="4">#REF!</definedName>
    <definedName name="VB3.5">#REF!</definedName>
    <definedName name="VB3.6" localSheetId="4">#REF!</definedName>
    <definedName name="VB3.6">#REF!</definedName>
    <definedName name="VB3.7" localSheetId="4">#REF!</definedName>
    <definedName name="VB3.7">#REF!</definedName>
    <definedName name="VB4.0" localSheetId="4">#REF!</definedName>
    <definedName name="VB4.0">#REF!</definedName>
    <definedName name="VB4.1" localSheetId="4">#REF!</definedName>
    <definedName name="VB4.1">#REF!</definedName>
    <definedName name="VB4.2" localSheetId="4">#REF!</definedName>
    <definedName name="VB4.2">#REF!</definedName>
    <definedName name="VB4.3" localSheetId="4">#REF!</definedName>
    <definedName name="VB4.3">#REF!</definedName>
    <definedName name="VB4.3.1" localSheetId="4">#REF!</definedName>
    <definedName name="VB4.3.1">#REF!</definedName>
    <definedName name="VB4.3.2" localSheetId="4">#REF!</definedName>
    <definedName name="VB4.3.2">#REF!</definedName>
    <definedName name="VB4.4" localSheetId="4">#REF!</definedName>
    <definedName name="VB4.4">#REF!</definedName>
    <definedName name="VB4.5" localSheetId="4">#REF!</definedName>
    <definedName name="VB4.5">#REF!</definedName>
    <definedName name="VB5.0" localSheetId="4">#REF!</definedName>
    <definedName name="VB5.0">#REF!</definedName>
    <definedName name="VB5.1" localSheetId="4">#REF!</definedName>
    <definedName name="VB5.1">#REF!</definedName>
    <definedName name="VB5.2" localSheetId="4">#REF!</definedName>
    <definedName name="VB5.2">#REF!</definedName>
    <definedName name="VB6.0" localSheetId="4">#REF!</definedName>
    <definedName name="VB6.0">#REF!</definedName>
    <definedName name="VB6.1" localSheetId="4">#REF!</definedName>
    <definedName name="VB6.1">#REF!</definedName>
    <definedName name="VB6.2" localSheetId="4">#REF!</definedName>
    <definedName name="VB6.2">#REF!</definedName>
    <definedName name="VB6.2.1" localSheetId="4">#REF!</definedName>
    <definedName name="VB6.2.1">#REF!</definedName>
    <definedName name="VB6.2.2" localSheetId="4">#REF!</definedName>
    <definedName name="VB6.2.2">#REF!</definedName>
    <definedName name="VB6.2.3" localSheetId="4">#REF!</definedName>
    <definedName name="VB6.2.3">#REF!</definedName>
    <definedName name="VB6.3" localSheetId="4">#REF!</definedName>
    <definedName name="VB6.3">#REF!</definedName>
    <definedName name="VB6.3.1" localSheetId="4">#REF!</definedName>
    <definedName name="VB6.3.1">#REF!</definedName>
    <definedName name="VB6.3.2" localSheetId="4">#REF!</definedName>
    <definedName name="VB6.3.2">#REF!</definedName>
    <definedName name="VB6.4" localSheetId="4">#REF!</definedName>
    <definedName name="VB6.4">#REF!</definedName>
    <definedName name="VB6.4.1" localSheetId="4">#REF!</definedName>
    <definedName name="VB6.4.1">#REF!</definedName>
    <definedName name="VB6.4.2" localSheetId="4">#REF!</definedName>
    <definedName name="VB6.4.2">#REF!</definedName>
    <definedName name="VB6.4.3" localSheetId="4">#REF!</definedName>
    <definedName name="VB6.4.3">#REF!</definedName>
    <definedName name="VB6.4.4" localSheetId="4">#REF!</definedName>
    <definedName name="VB6.4.4">#REF!</definedName>
    <definedName name="VB6.4.5" localSheetId="4">#REF!</definedName>
    <definedName name="VB6.4.5">#REF!</definedName>
    <definedName name="VB6.5" localSheetId="4">#REF!</definedName>
    <definedName name="VB6.5">#REF!</definedName>
    <definedName name="VB6.6" localSheetId="4">#REF!</definedName>
    <definedName name="VB6.6">#REF!</definedName>
    <definedName name="VB6.7" localSheetId="4">#REF!</definedName>
    <definedName name="VB6.7">#REF!</definedName>
    <definedName name="VB6.8" localSheetId="4">#REF!</definedName>
    <definedName name="VB6.8">#REF!</definedName>
    <definedName name="VB6.8.1" localSheetId="4">#REF!</definedName>
    <definedName name="VB6.8.1">#REF!</definedName>
    <definedName name="VB6.8.2" localSheetId="4">#REF!</definedName>
    <definedName name="VB6.8.2">#REF!</definedName>
    <definedName name="VB6.8.3" localSheetId="4">#REF!</definedName>
    <definedName name="VB6.8.3">#REF!</definedName>
    <definedName name="VB6.8.4" localSheetId="4">#REF!</definedName>
    <definedName name="VB6.8.4">#REF!</definedName>
    <definedName name="VB6.8.5" localSheetId="4">#REF!</definedName>
    <definedName name="VB6.8.5">#REF!</definedName>
    <definedName name="VB6.8.6" localSheetId="4">#REF!</definedName>
    <definedName name="VB6.8.6">#REF!</definedName>
    <definedName name="VB6.8.7" localSheetId="4">#REF!</definedName>
    <definedName name="VB6.8.7">#REF!</definedName>
    <definedName name="VB6.8.8" localSheetId="4">#REF!</definedName>
    <definedName name="VB6.8.8">#REF!</definedName>
    <definedName name="VB6.8.9" localSheetId="4">#REF!</definedName>
    <definedName name="VB6.8.9">#REF!</definedName>
  </definedNames>
  <calcPr calcId="191029" fullPrecision="0"/>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H20" i="4" l="1"/>
  <c r="H7" i="1"/>
  <c r="H126" i="19"/>
  <c r="G126" i="19"/>
  <c r="H17" i="4"/>
  <c r="G17" i="4"/>
  <c r="E148" i="19" l="1"/>
  <c r="E145" i="19"/>
  <c r="E144" i="19"/>
  <c r="E128" i="19"/>
  <c r="E127" i="19"/>
  <c r="E126" i="19"/>
  <c r="E99" i="19"/>
  <c r="D81" i="19"/>
  <c r="E76" i="19"/>
  <c r="D59" i="19" s="1"/>
  <c r="E49" i="19"/>
  <c r="D34" i="19" s="1"/>
  <c r="E25" i="19"/>
  <c r="D8" i="19" s="1"/>
  <c r="E22" i="19"/>
  <c r="E149" i="19" l="1"/>
  <c r="D134" i="19"/>
  <c r="D82" i="19"/>
  <c r="E112" i="19"/>
  <c r="F62" i="19" l="1"/>
  <c r="F61" i="19"/>
  <c r="F37" i="19"/>
  <c r="E105" i="19"/>
  <c r="E84" i="19"/>
  <c r="E57" i="19"/>
  <c r="E32" i="19"/>
  <c r="E6" i="19"/>
  <c r="F36" i="19" l="1"/>
  <c r="D7" i="1" l="1"/>
  <c r="D138" i="19" l="1"/>
  <c r="D137" i="19"/>
  <c r="E146" i="19"/>
  <c r="D135" i="19" s="1"/>
  <c r="D117" i="19"/>
  <c r="D133" i="19" s="1"/>
  <c r="D116" i="19"/>
  <c r="D132" i="19" s="1"/>
  <c r="D120" i="19"/>
  <c r="E129" i="19"/>
  <c r="D119" i="19" s="1"/>
  <c r="E94" i="19"/>
  <c r="E97" i="19"/>
  <c r="E113" i="19"/>
  <c r="D105" i="19" s="1"/>
  <c r="E111" i="19"/>
  <c r="E74" i="19"/>
  <c r="E73" i="19"/>
  <c r="D57" i="19" s="1"/>
  <c r="E47" i="19"/>
  <c r="E23" i="19"/>
  <c r="D6" i="19" l="1"/>
  <c r="D104" i="19"/>
  <c r="D118" i="19"/>
  <c r="F87" i="19" l="1"/>
  <c r="D86" i="19"/>
  <c r="E96" i="19"/>
  <c r="D85" i="19" s="1"/>
  <c r="E95" i="19"/>
  <c r="D84" i="19" s="1"/>
  <c r="E93" i="19"/>
  <c r="D83" i="19" s="1"/>
  <c r="E77" i="19"/>
  <c r="D60" i="19" s="1"/>
  <c r="E75" i="19"/>
  <c r="D58" i="19" s="1"/>
  <c r="E72" i="19"/>
  <c r="E71" i="19"/>
  <c r="E70" i="19"/>
  <c r="E69" i="19"/>
  <c r="E68" i="19"/>
  <c r="E50" i="19"/>
  <c r="D35" i="19" s="1"/>
  <c r="E48" i="19"/>
  <c r="D33" i="19" s="1"/>
  <c r="D32" i="19"/>
  <c r="E46" i="19"/>
  <c r="E45" i="19"/>
  <c r="E44" i="19"/>
  <c r="E43" i="19"/>
  <c r="D9" i="19"/>
  <c r="D10" i="19" s="1"/>
  <c r="F10" i="19" s="1"/>
  <c r="E24" i="19"/>
  <c r="D7" i="19" s="1"/>
  <c r="E21" i="19"/>
  <c r="E19" i="19"/>
  <c r="E20" i="19"/>
  <c r="E18" i="19"/>
  <c r="E17" i="19"/>
  <c r="E16" i="19"/>
  <c r="H19" i="12"/>
  <c r="F19" i="12"/>
  <c r="D56" i="19" l="1"/>
  <c r="D31" i="19"/>
  <c r="D5" i="19"/>
  <c r="H107" i="12"/>
  <c r="E105" i="12"/>
  <c r="I93" i="12"/>
  <c r="F56" i="1" s="1"/>
  <c r="I91" i="12"/>
  <c r="F55" i="1" s="1"/>
  <c r="C94" i="12"/>
  <c r="B94" i="12"/>
  <c r="C92" i="12"/>
  <c r="C89" i="12"/>
  <c r="C87" i="12"/>
  <c r="B87" i="12"/>
  <c r="C85" i="12"/>
  <c r="B85" i="12"/>
  <c r="C82" i="12"/>
  <c r="B82" i="12"/>
  <c r="C80" i="12"/>
  <c r="B80" i="12"/>
  <c r="C77" i="12"/>
  <c r="B77" i="12"/>
  <c r="H79" i="12"/>
  <c r="D56" i="1"/>
  <c r="B92" i="12" s="1"/>
  <c r="D55" i="1"/>
  <c r="B89" i="12" s="1"/>
  <c r="A94" i="12"/>
  <c r="A92" i="12"/>
  <c r="A89" i="12"/>
  <c r="A87" i="12"/>
  <c r="A85" i="12"/>
  <c r="A82" i="12"/>
  <c r="A80" i="12"/>
  <c r="A77" i="12"/>
  <c r="A74" i="12"/>
  <c r="A72" i="12"/>
  <c r="A70" i="12"/>
  <c r="A68" i="12"/>
  <c r="A66" i="12"/>
  <c r="A64" i="12"/>
  <c r="A62" i="12"/>
  <c r="A60" i="12"/>
  <c r="A58" i="12"/>
  <c r="H56" i="12"/>
  <c r="H54" i="12"/>
  <c r="I52" i="12"/>
  <c r="F33" i="1" s="1"/>
  <c r="I50" i="12"/>
  <c r="F32" i="1" s="1"/>
  <c r="C55" i="12"/>
  <c r="B55" i="12"/>
  <c r="C53" i="12"/>
  <c r="B53" i="12"/>
  <c r="C51" i="12"/>
  <c r="B51" i="12"/>
  <c r="C49" i="12"/>
  <c r="B49" i="12"/>
  <c r="C47" i="12"/>
  <c r="C45" i="12"/>
  <c r="A55" i="12"/>
  <c r="A53" i="12"/>
  <c r="A51" i="12"/>
  <c r="A49" i="12"/>
  <c r="A47" i="12"/>
  <c r="A45" i="12"/>
  <c r="H43" i="12"/>
  <c r="I39" i="12"/>
  <c r="F25" i="1" s="1"/>
  <c r="I37" i="12"/>
  <c r="F24" i="1" s="1"/>
  <c r="C42" i="12"/>
  <c r="B42" i="12"/>
  <c r="C40" i="12"/>
  <c r="C36" i="12"/>
  <c r="C38" i="12"/>
  <c r="A42" i="12"/>
  <c r="A40" i="12"/>
  <c r="A38" i="12"/>
  <c r="A36" i="12"/>
  <c r="C20" i="12"/>
  <c r="C17" i="12"/>
  <c r="C15" i="12"/>
  <c r="C10" i="12"/>
  <c r="C7" i="12"/>
  <c r="I32" i="12"/>
  <c r="F20" i="1" s="1"/>
  <c r="I28" i="12"/>
  <c r="F18" i="1" s="1"/>
  <c r="I26" i="12"/>
  <c r="F17" i="1" s="1"/>
  <c r="B33" i="12"/>
  <c r="B31" i="12"/>
  <c r="B29" i="12"/>
  <c r="B27" i="12"/>
  <c r="B25" i="12"/>
  <c r="B23" i="12"/>
  <c r="A33" i="12"/>
  <c r="A31" i="12"/>
  <c r="A29" i="12"/>
  <c r="A27" i="12"/>
  <c r="A25" i="12"/>
  <c r="A23" i="12"/>
  <c r="B20" i="12"/>
  <c r="B17" i="12"/>
  <c r="B15" i="12"/>
  <c r="B10" i="12"/>
  <c r="A20" i="12"/>
  <c r="A17" i="12"/>
  <c r="A15" i="12"/>
  <c r="A10" i="12"/>
  <c r="A7" i="12"/>
  <c r="G20" i="1"/>
  <c r="G12" i="1"/>
  <c r="G13" i="1"/>
  <c r="F153" i="19"/>
  <c r="G21" i="1"/>
  <c r="D31" i="1"/>
  <c r="B47" i="12" s="1"/>
  <c r="D30" i="1"/>
  <c r="B45" i="12" s="1"/>
  <c r="H20" i="1" l="1"/>
  <c r="D26" i="1"/>
  <c r="B40" i="12" s="1"/>
  <c r="D25" i="1"/>
  <c r="B38" i="12" s="1"/>
  <c r="D24" i="1"/>
  <c r="B36" i="12" s="1"/>
  <c r="F138" i="19" l="1"/>
  <c r="F137" i="19"/>
  <c r="F136" i="19"/>
  <c r="F135" i="19"/>
  <c r="F134" i="19"/>
  <c r="F133" i="19"/>
  <c r="F132" i="19"/>
  <c r="F118" i="19"/>
  <c r="F117" i="19"/>
  <c r="F116" i="19"/>
  <c r="F105" i="19"/>
  <c r="F104" i="19"/>
  <c r="F103" i="19"/>
  <c r="F102" i="19"/>
  <c r="F86" i="19"/>
  <c r="F85" i="19"/>
  <c r="F84" i="19"/>
  <c r="F83" i="19"/>
  <c r="F82" i="19"/>
  <c r="F81" i="19"/>
  <c r="F60" i="19"/>
  <c r="F59" i="19"/>
  <c r="F58" i="19"/>
  <c r="F57" i="19"/>
  <c r="F56" i="19"/>
  <c r="F55" i="19"/>
  <c r="F54" i="19"/>
  <c r="F35" i="19"/>
  <c r="F34" i="19"/>
  <c r="F33" i="19"/>
  <c r="F32" i="19"/>
  <c r="F31" i="19"/>
  <c r="F30" i="19"/>
  <c r="F29" i="19"/>
  <c r="F9" i="19"/>
  <c r="F5" i="19"/>
  <c r="F6" i="19"/>
  <c r="F7" i="19"/>
  <c r="F8" i="19"/>
  <c r="F152" i="19"/>
  <c r="F154" i="19" s="1"/>
  <c r="J7" i="1" s="1"/>
  <c r="G7" i="1" s="1"/>
  <c r="F120" i="19"/>
  <c r="F119" i="19"/>
  <c r="F4" i="19"/>
  <c r="F3" i="19"/>
  <c r="F11" i="19" l="1"/>
  <c r="J30" i="1" s="1"/>
  <c r="F121" i="19"/>
  <c r="J55" i="1" s="1"/>
  <c r="F88" i="19"/>
  <c r="F38" i="19"/>
  <c r="J24" i="1" s="1"/>
  <c r="G24" i="1" s="1"/>
  <c r="F63" i="19"/>
  <c r="J25" i="1" s="1"/>
  <c r="G25" i="1" s="1"/>
  <c r="F139" i="19"/>
  <c r="J56" i="1" s="1"/>
  <c r="F106" i="19"/>
  <c r="J31" i="1" s="1"/>
  <c r="H14" i="12"/>
  <c r="J26" i="1" l="1"/>
  <c r="G26" i="1" s="1"/>
  <c r="G56" i="1" l="1"/>
  <c r="H56" i="1" s="1"/>
  <c r="I54" i="12"/>
  <c r="F34" i="1" s="1"/>
  <c r="F111" i="12"/>
  <c r="F110" i="12" l="1"/>
  <c r="H110" i="12" s="1"/>
  <c r="H111" i="12"/>
  <c r="H109" i="12"/>
  <c r="H106" i="12"/>
  <c r="H105" i="12"/>
  <c r="H104" i="12"/>
  <c r="H101" i="12"/>
  <c r="H102" i="12"/>
  <c r="H100" i="12"/>
  <c r="H97" i="12"/>
  <c r="H98" i="12"/>
  <c r="H96" i="12"/>
  <c r="H95" i="12" l="1"/>
  <c r="H108" i="12"/>
  <c r="H99" i="12"/>
  <c r="H103" i="12"/>
  <c r="I112" i="12" l="1"/>
  <c r="F57" i="1" s="1"/>
  <c r="I43" i="12"/>
  <c r="F27" i="1" s="1"/>
  <c r="I41" i="12"/>
  <c r="G31" i="1" l="1"/>
  <c r="G35" i="1"/>
  <c r="G34" i="1"/>
  <c r="H16" i="12"/>
  <c r="I16" i="12" s="1"/>
  <c r="F11" i="1" s="1"/>
  <c r="G11" i="1"/>
  <c r="G27" i="1"/>
  <c r="H11" i="1" l="1"/>
  <c r="H27" i="1"/>
  <c r="I56" i="12"/>
  <c r="F35" i="1" s="1"/>
  <c r="J39" i="12"/>
  <c r="H34" i="1" l="1"/>
  <c r="H35" i="1"/>
  <c r="J37" i="12" l="1"/>
  <c r="H24" i="1" l="1"/>
  <c r="I18" i="4" l="1"/>
  <c r="I16" i="4"/>
  <c r="I14" i="4"/>
  <c r="I12" i="4"/>
  <c r="I10" i="4"/>
  <c r="I6" i="4"/>
  <c r="G57" i="1"/>
  <c r="H57" i="1" s="1"/>
  <c r="G55" i="1"/>
  <c r="H55" i="1" s="1"/>
  <c r="G51" i="1"/>
  <c r="G52" i="1"/>
  <c r="G53" i="1"/>
  <c r="G54" i="1"/>
  <c r="G50" i="1"/>
  <c r="G39" i="1"/>
  <c r="G40" i="1"/>
  <c r="G41" i="1"/>
  <c r="G42" i="1"/>
  <c r="G43" i="1"/>
  <c r="G44" i="1"/>
  <c r="G45" i="1"/>
  <c r="G46" i="1"/>
  <c r="G38" i="1"/>
  <c r="G32" i="1"/>
  <c r="G33" i="1"/>
  <c r="G30" i="1" l="1"/>
  <c r="H26" i="1" l="1"/>
  <c r="G17" i="1"/>
  <c r="G19" i="1"/>
  <c r="G18" i="1"/>
  <c r="G16" i="1"/>
  <c r="G10" i="1"/>
  <c r="I48" i="12"/>
  <c r="I46" i="12"/>
  <c r="B44" i="12"/>
  <c r="B35" i="12"/>
  <c r="H25" i="1"/>
  <c r="I65" i="12"/>
  <c r="F41" i="1" s="1"/>
  <c r="H41" i="1" s="1"/>
  <c r="I71" i="12"/>
  <c r="F44" i="1" s="1"/>
  <c r="H44" i="1" s="1"/>
  <c r="I8" i="12"/>
  <c r="F7" i="1" s="1"/>
  <c r="F13" i="12"/>
  <c r="H13" i="12" s="1"/>
  <c r="H12" i="12"/>
  <c r="H11" i="12"/>
  <c r="C31" i="15"/>
  <c r="C27" i="15" s="1"/>
  <c r="C35" i="15" s="1"/>
  <c r="H78" i="12"/>
  <c r="I88" i="12"/>
  <c r="I86" i="12"/>
  <c r="H81" i="12"/>
  <c r="I81" i="12" s="1"/>
  <c r="F51" i="1" s="1"/>
  <c r="B76" i="12"/>
  <c r="B74" i="12"/>
  <c r="B72" i="12"/>
  <c r="B70" i="12"/>
  <c r="I73" i="12"/>
  <c r="F45" i="1" s="1"/>
  <c r="H45" i="1" s="1"/>
  <c r="B68" i="12"/>
  <c r="B66" i="12"/>
  <c r="B64" i="12"/>
  <c r="B62" i="12"/>
  <c r="B60" i="12"/>
  <c r="B58" i="12"/>
  <c r="B57" i="12"/>
  <c r="G34" i="12"/>
  <c r="H34" i="12" s="1"/>
  <c r="I34" i="12" s="1"/>
  <c r="F21" i="1" s="1"/>
  <c r="H21" i="1" s="1"/>
  <c r="I30" i="12"/>
  <c r="F19" i="1" s="1"/>
  <c r="I75" i="12"/>
  <c r="F46" i="1" s="1"/>
  <c r="H46" i="1" s="1"/>
  <c r="H24" i="12"/>
  <c r="B10" i="4"/>
  <c r="B6" i="4"/>
  <c r="B12" i="4"/>
  <c r="B14" i="4"/>
  <c r="B16" i="4"/>
  <c r="B18" i="4"/>
  <c r="A18" i="4"/>
  <c r="F53" i="1" l="1"/>
  <c r="H53" i="1" s="1"/>
  <c r="F54" i="1"/>
  <c r="H54" i="1" s="1"/>
  <c r="H32" i="1"/>
  <c r="F30" i="1"/>
  <c r="H30" i="1" s="1"/>
  <c r="H33" i="1"/>
  <c r="F31" i="1"/>
  <c r="H31" i="1" s="1"/>
  <c r="H28" i="1"/>
  <c r="I84" i="12"/>
  <c r="F52" i="1" s="1"/>
  <c r="I79" i="12"/>
  <c r="F50" i="1" s="1"/>
  <c r="I14" i="12"/>
  <c r="H19" i="1"/>
  <c r="F35" i="15"/>
  <c r="H36" i="1" l="1"/>
  <c r="D14" i="4" s="1"/>
  <c r="F15" i="4" s="1"/>
  <c r="H18" i="12"/>
  <c r="I19" i="12" s="1"/>
  <c r="F12" i="1" s="1"/>
  <c r="F10" i="1"/>
  <c r="H52" i="1"/>
  <c r="H51" i="1"/>
  <c r="H50" i="1"/>
  <c r="H18" i="1"/>
  <c r="H58" i="1" l="1"/>
  <c r="D18" i="4" s="1"/>
  <c r="G15" i="4"/>
  <c r="H21" i="12"/>
  <c r="I21" i="12" s="1"/>
  <c r="F13" i="1" s="1"/>
  <c r="H13" i="1" s="1"/>
  <c r="H12" i="1"/>
  <c r="H19" i="4" l="1"/>
  <c r="G19" i="4"/>
  <c r="I69" i="12"/>
  <c r="F43" i="1" s="1"/>
  <c r="H43" i="1" s="1"/>
  <c r="I19" i="4" l="1"/>
  <c r="I61" i="12"/>
  <c r="F39" i="1" s="1"/>
  <c r="H39" i="1" s="1"/>
  <c r="H17" i="1" l="1"/>
  <c r="B8" i="4"/>
  <c r="I67" i="12"/>
  <c r="F42" i="1" s="1"/>
  <c r="H42" i="1" s="1"/>
  <c r="I63" i="12"/>
  <c r="F40" i="1" s="1"/>
  <c r="H40" i="1" s="1"/>
  <c r="I59" i="12"/>
  <c r="F38" i="1" s="1"/>
  <c r="H38" i="1" s="1"/>
  <c r="I24" i="12"/>
  <c r="F16" i="1" s="1"/>
  <c r="B22" i="12"/>
  <c r="B9" i="12"/>
  <c r="B7" i="12"/>
  <c r="B6" i="12"/>
  <c r="H47" i="1" l="1"/>
  <c r="D16" i="4" s="1"/>
  <c r="D12" i="4"/>
  <c r="H16" i="1"/>
  <c r="H22" i="1" s="1"/>
  <c r="E13" i="4" l="1"/>
  <c r="F13" i="4"/>
  <c r="F17" i="4"/>
  <c r="H10" i="1"/>
  <c r="H14" i="1" s="1"/>
  <c r="D8" i="4" l="1"/>
  <c r="E9" i="4" s="1"/>
  <c r="H8" i="1" l="1"/>
  <c r="E60" i="1" s="1"/>
  <c r="D6" i="4" l="1"/>
  <c r="H7" i="4" s="1"/>
  <c r="H22" i="4" s="1"/>
  <c r="F7" i="4" l="1"/>
  <c r="F22" i="4" s="1"/>
  <c r="E7" i="4"/>
  <c r="G7" i="4"/>
  <c r="G22" i="4" s="1"/>
  <c r="I15" i="4"/>
  <c r="I7" i="4" l="1"/>
  <c r="I17" i="4"/>
  <c r="D10" i="4" l="1"/>
  <c r="I13" i="4"/>
  <c r="D20" i="4" l="1"/>
  <c r="E11" i="4"/>
  <c r="E22" i="4" s="1"/>
  <c r="I9" i="4"/>
  <c r="I8" i="4"/>
  <c r="F20" i="4" l="1"/>
  <c r="G20" i="4"/>
  <c r="I11" i="4"/>
  <c r="E20" i="4"/>
  <c r="E21" i="4" s="1"/>
  <c r="E23" i="4"/>
  <c r="F23" i="4" s="1"/>
  <c r="G23" i="4" s="1"/>
  <c r="H23" i="4" s="1"/>
  <c r="F21" i="4" l="1"/>
  <c r="G21" i="4" s="1"/>
  <c r="H21"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caixa</author>
    <author>Cremilson Inácio de Souza</author>
    <author>c094707</author>
  </authors>
  <commentList>
    <comment ref="B3" authorId="0" shapeId="0" xr:uid="{B6945C8B-59EC-44AA-BBA2-034247BF518E}">
      <text>
        <r>
          <rPr>
            <sz val="9"/>
            <color indexed="81"/>
            <rFont val="Segoe UI"/>
            <family val="2"/>
          </rPr>
          <t>Nome do Orgão  ou Empresa Executante</t>
        </r>
      </text>
    </comment>
    <comment ref="B10" authorId="1" shapeId="0" xr:uid="{1344EBB5-9399-42E2-B25A-6A0002D48728}">
      <text>
        <r>
          <rPr>
            <b/>
            <sz val="9"/>
            <color indexed="81"/>
            <rFont val="Tahoma"/>
            <family val="2"/>
          </rPr>
          <t>Escolha</t>
        </r>
        <r>
          <rPr>
            <sz val="9"/>
            <color indexed="81"/>
            <rFont val="Tahoma"/>
            <family val="2"/>
          </rPr>
          <t xml:space="preserve">
</t>
        </r>
      </text>
    </comment>
    <comment ref="B14" authorId="1" shapeId="0" xr:uid="{C26B4959-216D-4162-951D-F1E4DBB7A582}">
      <text>
        <r>
          <rPr>
            <b/>
            <sz val="9"/>
            <color indexed="81"/>
            <rFont val="Tahoma"/>
            <family val="2"/>
          </rPr>
          <t>Escolha</t>
        </r>
        <r>
          <rPr>
            <sz val="9"/>
            <color indexed="81"/>
            <rFont val="Tahoma"/>
            <family val="2"/>
          </rPr>
          <t xml:space="preserve">
</t>
        </r>
      </text>
    </comment>
    <comment ref="C18" authorId="2" shapeId="0" xr:uid="{B5001045-360E-4EB9-A1C4-DBB7F8BC9381}">
      <text>
        <r>
          <rPr>
            <sz val="10"/>
            <color indexed="81"/>
            <rFont val="Tahoma"/>
            <family val="2"/>
          </rPr>
          <t>ADMINISTRAÇÃO CENTRAL
Diretoria e secretarias
Suprimentos  e Compras
Financeiro, incluindo Tesouraria e Contabilidade
Jurídico
Recursos Humanos
Planejamento e Orçamentos
Comercial
Apoio e Deposito
Despesas de instalação do Escritório Central
Seguros do Escritório Central e Deposito
Taxas para funcionamento
Material de consumo (limpeza, higiene, escritório).
Consumo de energia, água, telefone etc.
Estes custos incidem na obra, pois a operação de uma empresa que tem em sua sede, uma estrutura montada para atender TODAS as obras em andamento é um custo que deverá ser reembolsado pela obra.
A valoração destes custos deveria ser enfocada em função do faturamento anual da empresa, porém nem sempre estes dados estão disponíveis no momento de estabelecer-se o DI.
 Desta forma, usualmente rateia-se os custos acima do escritório central para a obra.  
Varia de empresa para empresa. Quando não é levantado são sugeridos valores entre 2% e 8% sobre o custo direto de produção (CD).</t>
        </r>
      </text>
    </comment>
    <comment ref="C19" authorId="2" shapeId="0" xr:uid="{E2136749-C778-4264-9E90-C17E95430446}">
      <text>
        <r>
          <rPr>
            <sz val="10"/>
            <color indexed="81"/>
            <rFont val="Tahoma"/>
            <family val="2"/>
          </rPr>
          <t xml:space="preserve">Compreende os imprevistos que são ocasionados na obra, feriados extraordinários, substituição de materiais por outros de melhor qualidade, etc.
TIPOS DE IMPREVISTOS
FORÇA MAIOR: 
NATURAIS:ENCHENTES, RAIOS, VENDAVAIS
ECONÔMICOS:CRIAÇAO DE NOVOS IMPOSTOS, JORNADAS DE TRABALHO DIFERENTES
SÓCIO-POLÍTICOS: GREVES, GUERRAS, SAQUES
DE PREVISIBILIDADE RELATIVA:
NATURAIS:CHEIAS, CHUVAS
ECONÔMICOS:ATRASO DE PAGAMENTO, AUMENTO DA INFLAÇÃO, ATRASOS DE TERCEIROS
HUMANOS: VARIAÇÕES DE PRODUTIVIDADE, INTERRUPÇÕES DE TRABALHO, ACORDOS JUDICIAIS DE QUESTÕES TRABALHISTAS
ALEATÓRIOS:
DE DIFÍCIL PREVISÃO, TAIS COMO ACIDENTES, SUBSTITUIÇÕES DE MATERIAIS, FURTOS, PERDA DE MATERIAL POR VANDALISMO, ETC.
</t>
        </r>
        <r>
          <rPr>
            <sz val="10"/>
            <color indexed="81"/>
            <rFont val="Tahoma"/>
            <family val="2"/>
          </rPr>
          <t xml:space="preserve">
</t>
        </r>
      </text>
    </comment>
    <comment ref="C21" authorId="2" shapeId="0" xr:uid="{16448586-0EE8-4553-B0ED-7D928B2B8727}">
      <text>
        <r>
          <rPr>
            <sz val="10"/>
            <color indexed="81"/>
            <rFont val="Tahoma"/>
            <family val="2"/>
          </rPr>
          <t xml:space="preserve">Remuneração de recursos investidos pelo contratado na execução da obra em benefício de contratante.
Se o contratante não dá um adiantamento para o início da obra, o contratado deverá investir um capital sobre o qual terá uma despesa financeira correspondente ao prazo entre o desembolso e o recebimento (consideramos 30 dias).
 É sugerido adotar o valor dos rendimentos do CDB. 
</t>
        </r>
      </text>
    </comment>
    <comment ref="C23" authorId="2" shapeId="0" xr:uid="{7A8B12C7-E3D9-418D-A9E9-1A8595BA055A}">
      <text>
        <r>
          <rPr>
            <sz val="10"/>
            <color indexed="81"/>
            <rFont val="Tahoma"/>
            <family val="2"/>
          </rPr>
          <t>O lucro de uma determinada obra é o resultado financeiro positivo resultante da diferença entre todas as receitas e das despesas da obra.
Este valor, após o recolhimento do Imposto de renda é o lucro da Empresa, ou sua remuneração.</t>
        </r>
        <r>
          <rPr>
            <b/>
            <sz val="10"/>
            <color indexed="81"/>
            <rFont val="Tahoma"/>
            <family val="2"/>
          </rPr>
          <t xml:space="preserve">
</t>
        </r>
      </text>
    </comment>
    <comment ref="C27" authorId="2" shapeId="0" xr:uid="{9374B4F6-026D-431D-87B0-FE3F83A1F748}">
      <text>
        <r>
          <rPr>
            <sz val="10"/>
            <color indexed="81"/>
            <rFont val="Tahoma"/>
            <family val="2"/>
          </rPr>
          <t>Referem-se aos tributos ou impostos cobrados sobre a receita total da obra e compreendem os impostos citados nas colunas abaixo.
Segundo recomendação do TCU (Tribunal de Contas da União) o IRPJ (Imposto de Renda Pessoa Jurídica) e CSLL (Contribuição Social Sobre o Lucro Líquido) não devem ser incluídos nos orçamentos de obras, já que estão relacionados com o desempenho financeiro da empresa e não com a execução do serviço de construção civil que está sendo orçado.</t>
        </r>
      </text>
    </comment>
    <comment ref="C29" authorId="2" shapeId="0" xr:uid="{D885C5D0-05A7-43C4-980F-1A0945290D9B}">
      <text>
        <r>
          <rPr>
            <sz val="10"/>
            <color indexed="81"/>
            <rFont val="Tahoma"/>
            <family val="2"/>
          </rPr>
          <t>COFINS (Contribuição para Financiamento da Seguridade Socia Financia a seguridade social pelo sistema S (SESC, SESI, SENAC, SENAI, SEST, SENAT, SENAR E SEBRAE).</t>
        </r>
      </text>
    </comment>
    <comment ref="C30" authorId="2" shapeId="0" xr:uid="{303216B1-1F4B-4369-B694-18F9A67436B8}">
      <text>
        <r>
          <rPr>
            <sz val="10"/>
            <color indexed="81"/>
            <rFont val="Tahoma"/>
            <family val="2"/>
          </rPr>
          <t xml:space="preserve">PIS (Programa de Integração Social) - 0,65% : Financia o pagamento do seguro desemprego e do abono dos trabalhadores que ganham até dois salários mínimos, bem como o financiamento de  programas de desenvolvimento econômico.
</t>
        </r>
      </text>
    </comment>
  </commentList>
</comments>
</file>

<file path=xl/sharedStrings.xml><?xml version="1.0" encoding="utf-8"?>
<sst xmlns="http://schemas.openxmlformats.org/spreadsheetml/2006/main" count="791" uniqueCount="365">
  <si>
    <t>ITEM</t>
  </si>
  <si>
    <t>ORGÃO</t>
  </si>
  <si>
    <t>DESCRIÇÃO SERVIÇO</t>
  </si>
  <si>
    <t>m</t>
  </si>
  <si>
    <t>SERVIÇOS PRELIMINARES</t>
  </si>
  <si>
    <t>TOTAL GERAL</t>
  </si>
  <si>
    <t>TOTAL</t>
  </si>
  <si>
    <t>DESCRIÇÃO</t>
  </si>
  <si>
    <t>PERÍODO (MESES)</t>
  </si>
  <si>
    <t xml:space="preserve">Físico (%) </t>
  </si>
  <si>
    <t>Financeiro (R$)</t>
  </si>
  <si>
    <t>Total Parcial (%)</t>
  </si>
  <si>
    <t>Total Acumulado (%)</t>
  </si>
  <si>
    <t>Total Financeiro (R$)</t>
  </si>
  <si>
    <t>Total Acumulado (R$)</t>
  </si>
  <si>
    <t>PLANILHA ORÇAMENTÁRIA</t>
  </si>
  <si>
    <t>VALORES (R$)</t>
  </si>
  <si>
    <t>UNITÁRIO</t>
  </si>
  <si>
    <t>CUSTO (R$)</t>
  </si>
  <si>
    <t>UNID.</t>
  </si>
  <si>
    <t>MEMÓRIA DE CÁLCULO</t>
  </si>
  <si>
    <t>CRONOGRAMA FISICO-FINANCEIRO</t>
  </si>
  <si>
    <t>CÓD.</t>
  </si>
  <si>
    <t>CRONOGRAMA FÍSICO-FINANCEIRO</t>
  </si>
  <si>
    <t>%</t>
  </si>
  <si>
    <t>CANTEIRO DE OBRAS</t>
  </si>
  <si>
    <t>SINAPI</t>
  </si>
  <si>
    <t>QUANT.</t>
  </si>
  <si>
    <t>kg</t>
  </si>
  <si>
    <t>Total do item</t>
  </si>
  <si>
    <t>ADMINISTRAÇÃO LOCAL</t>
  </si>
  <si>
    <t>DESCRIÇÃO DOS SERVIÇOS</t>
  </si>
  <si>
    <t>CÁLCULOS DE QUANTIDADES</t>
  </si>
  <si>
    <t>UND.</t>
  </si>
  <si>
    <t>CÁLCULOS E INDICAÇÕES</t>
  </si>
  <si>
    <t>4.2</t>
  </si>
  <si>
    <t>Compr.</t>
  </si>
  <si>
    <t>Largura</t>
  </si>
  <si>
    <t>Altura</t>
  </si>
  <si>
    <t>Sub-total</t>
  </si>
  <si>
    <t>6.0</t>
  </si>
  <si>
    <t>6.2</t>
  </si>
  <si>
    <t>1.0</t>
  </si>
  <si>
    <t>1.1</t>
  </si>
  <si>
    <t>2.0</t>
  </si>
  <si>
    <t>2.1</t>
  </si>
  <si>
    <t>3.0</t>
  </si>
  <si>
    <t>3.1</t>
  </si>
  <si>
    <t>3.2</t>
  </si>
  <si>
    <t>3.3</t>
  </si>
  <si>
    <t>3.4</t>
  </si>
  <si>
    <t>3.5</t>
  </si>
  <si>
    <t>3.6</t>
  </si>
  <si>
    <t>4.0</t>
  </si>
  <si>
    <t>4.1</t>
  </si>
  <si>
    <t>4.3</t>
  </si>
  <si>
    <t>5.0</t>
  </si>
  <si>
    <t>5.1</t>
  </si>
  <si>
    <t>5.2</t>
  </si>
  <si>
    <t>5.3</t>
  </si>
  <si>
    <t>6.1</t>
  </si>
  <si>
    <t>6.3</t>
  </si>
  <si>
    <t>6.4</t>
  </si>
  <si>
    <t>6.5</t>
  </si>
  <si>
    <t>Área</t>
  </si>
  <si>
    <t>SERVIÇOS COMPLEMENTARES</t>
  </si>
  <si>
    <t>6.6</t>
  </si>
  <si>
    <t>PROJETOS</t>
  </si>
  <si>
    <t>DEMOLIÇÃO DE PILARES E VIGAS EM CONCRETO ARMADO, DE FORMA MECANIZADA COM MARTELETE, SEM REAPROVEITAMENTO. AF_12/2017</t>
  </si>
  <si>
    <t>97627</t>
  </si>
  <si>
    <t xml:space="preserve">ENGENHEIRO CIVIL DE OBRA PLENO COM ENCARGOS COMPLEMENTARES </t>
  </si>
  <si>
    <t>H</t>
  </si>
  <si>
    <t>2.2</t>
  </si>
  <si>
    <t>2.3</t>
  </si>
  <si>
    <t>MERC.</t>
  </si>
  <si>
    <t xml:space="preserve">PLACA DE OBRA EM CHAPA DE ACO GALVANIZADO </t>
  </si>
  <si>
    <t xml:space="preserve">74209/001 </t>
  </si>
  <si>
    <t>UND</t>
  </si>
  <si>
    <t>EXECUÇÃO DE CENTRAL DE ARMADURA EM CANTEIRO DE OBRA, NÃO INCLUSO MOBILIÁRIO E EQUIPAMENTOS. AF_04/2016</t>
  </si>
  <si>
    <t>93582</t>
  </si>
  <si>
    <t>ENTRADA PROVISORIA DE ENERGIA ELETRICA AEREA TRIFASICA 40A EM POSTE MADEIRA</t>
  </si>
  <si>
    <t xml:space="preserve">41598 </t>
  </si>
  <si>
    <t>ESTRUTURA DA PASSARELA</t>
  </si>
  <si>
    <t>COBERTURA DA PASSARELA</t>
  </si>
  <si>
    <t>EXECUÇÃO DE PASSEIO (CALÇADA) OU PISO DE CONCRETO COM CONCRETO MOLDADOIN LOCO, FEITO EM OBRA, ACABAMENTO CONVENCIONAL, NÃO ARMADO. AF_07/2016</t>
  </si>
  <si>
    <t>M³</t>
  </si>
  <si>
    <t>M²</t>
  </si>
  <si>
    <t>M</t>
  </si>
  <si>
    <t>ASSENTAMENTO DE GUIA (MEIO-FIO) EM TRECHO CURVO, CONFECCIONADA EM CONCRETO PRÉ-FABRICADO, DIMENSÕES 100X15X13X30 CM (COMPRIMENTO X BASE INFERIOR X BASE SUPERIOR X ALTURA), PARA VIAS URBANAS (USO VIÁRIO). AF_06/2016</t>
  </si>
  <si>
    <t>INTALAÇÕES ELÉTRICAS</t>
  </si>
  <si>
    <t>DISJUNTOR MONOPOLAR TIPO DIN, CORRENTE NOMINAL DE 10A - FORNECIMENTO E INSTALAÇÃO</t>
  </si>
  <si>
    <t>RELE FOTOELETRICO P/ COMANDO DE ILUMINACAO EXTERNA 220V/1000W - FORNECIMENTO E INSTALACAO</t>
  </si>
  <si>
    <t>DUTO ESPIRAL FLEXIVEL SINGELO PEAD D=50MM(2") REVESTIDO COM PVC COM FIO GUIA DE ACO GALVANIZADO, LANCADO DIRETO NO SOLO, INCL CONEXOES</t>
  </si>
  <si>
    <t>CABO DE COBRE FLEXÍVEL ISOLADO, 2,5 MM², ANTI-CHAMA 450/750 V, PARA CIRCUITOS TERMINAIS - FORNECIMENTO E INSTALAÇÃO.</t>
  </si>
  <si>
    <t>HASTE DE ATERRAMENTO 5/8 PARA SPDA - FORNECIMENTO E INSTALAÇÃO.</t>
  </si>
  <si>
    <t>QUADRO DE DISTRIBUICAO DE ENERGIA DE EMBUTIR, EM CHAPA METALICA, PARA 3 DISJUNTORES TERMOMAGNETICOS MONOPOLARES SEM BARRAMENTO FORNECIMENTO E INSTALACAO</t>
  </si>
  <si>
    <t>6.7</t>
  </si>
  <si>
    <t>6.8</t>
  </si>
  <si>
    <t>6.9</t>
  </si>
  <si>
    <t>74131/001</t>
  </si>
  <si>
    <t>93653</t>
  </si>
  <si>
    <t>83399</t>
  </si>
  <si>
    <t>73798/001</t>
  </si>
  <si>
    <t>91926</t>
  </si>
  <si>
    <t>96985</t>
  </si>
  <si>
    <t>7.0</t>
  </si>
  <si>
    <t>PREPARO DE FUNDO DE VALA COM LARGURA MENOR QUE 1,5 M, EM LOCAL COM NÍVEL ALTO DE INTERFERÊNCIA. AF_06/2016</t>
  </si>
  <si>
    <t>dimensões:</t>
  </si>
  <si>
    <t>7.1</t>
  </si>
  <si>
    <t>7.2</t>
  </si>
  <si>
    <t>7.3</t>
  </si>
  <si>
    <t>7.4</t>
  </si>
  <si>
    <t>7.5</t>
  </si>
  <si>
    <t>7.6</t>
  </si>
  <si>
    <t>Projeto elétrico prancha 01/01</t>
  </si>
  <si>
    <t>Projeto arquitetônico prancha 01/03 (remoção de poste da EDP):</t>
  </si>
  <si>
    <t>Projeto arquitetônico prancha 01/03 (recupreção de calçadas da ponte)</t>
  </si>
  <si>
    <t>Comp.</t>
  </si>
  <si>
    <t>Projeto arquitetônico prancha 01/03 (canteiro para realocação do poste)</t>
  </si>
  <si>
    <t>Projeto arquitetônico prancha 02/03 (passarela lado 1)</t>
  </si>
  <si>
    <t>Projeto arquitetônico prancha 02/03 (passarela lado 2)</t>
  </si>
  <si>
    <t>DETALHAMENTO DO BDI</t>
  </si>
  <si>
    <t>PROPONENTE:</t>
  </si>
  <si>
    <t>Prefeitura Municipal de Itarana - ES</t>
  </si>
  <si>
    <t>OBRA:</t>
  </si>
  <si>
    <t>CONTRATO:</t>
  </si>
  <si>
    <t>1. Regime de Contribuição Previdenciária</t>
  </si>
  <si>
    <t>Com Desoneração</t>
  </si>
  <si>
    <t>2. Tipo de Intervenção</t>
  </si>
  <si>
    <t>Edificações</t>
  </si>
  <si>
    <t>3. Incidências sobre o custo</t>
  </si>
  <si>
    <t>4 – Incidências sobre o preço de venda</t>
  </si>
  <si>
    <t>Despesas Tributárias - I</t>
  </si>
  <si>
    <t>ISS</t>
  </si>
  <si>
    <t>COFINS</t>
  </si>
  <si>
    <t>PIS</t>
  </si>
  <si>
    <t>INSS</t>
  </si>
  <si>
    <t>5 – Demonstrativo de cálculo do BDI</t>
  </si>
  <si>
    <t>( 1- I )</t>
  </si>
  <si>
    <t>Construção de passarela com cobertura</t>
  </si>
  <si>
    <t>CONSTRUÇÃO DE PASSARELA COM COBERTURA</t>
  </si>
  <si>
    <t>Projeto arquitetônico prancha 01/03 (demolição de pilares do guarda-corpo)</t>
  </si>
  <si>
    <t>Quant</t>
  </si>
  <si>
    <t>Projeto arquitetônico prancha 01/03 (demolição de vigas do guarda-corpo)</t>
  </si>
  <si>
    <t>CONTEÚDO:</t>
  </si>
  <si>
    <r>
      <rPr>
        <b/>
        <sz val="14"/>
        <rFont val="Century Gothic"/>
        <family val="2"/>
      </rPr>
      <t xml:space="preserve">LOCAL: </t>
    </r>
    <r>
      <rPr>
        <sz val="14"/>
        <rFont val="Century Gothic"/>
        <family val="2"/>
      </rPr>
      <t>CENTRO, ITARANA - ES.</t>
    </r>
  </si>
  <si>
    <t>TRAMA DE AÇO COMPOSTA POR TERÇAS PARA TELHADOS DE ATÉ 2 ÁGUAS PARA TELHA ONDULADA DE FIBROCIMENTO, METÁLICA, PLÁSTICA OU TERMOACÚSTICA, INCLUSO TRANSPORTE VERTICAL. AF_12/2015.</t>
  </si>
  <si>
    <t>Projeto arquitetônico prancha 02/03 (área de cobertura)</t>
  </si>
  <si>
    <t>TELHAMENTO COM TELHA METÁLICA TERMOACÚSTICA E = 30 MM, COM ATÉ 2 ÁGUAS, INCLUSO IÇAMENTO. AF_06/2016</t>
  </si>
  <si>
    <t>7.7</t>
  </si>
  <si>
    <t>Valor Unit</t>
  </si>
  <si>
    <t>Total</t>
  </si>
  <si>
    <t>COMP. 1</t>
  </si>
  <si>
    <t xml:space="preserve">SERRALHEIRO COM ENCARGOS COMPLEMENTARES </t>
  </si>
  <si>
    <t>COMP. 2</t>
  </si>
  <si>
    <t>KG</t>
  </si>
  <si>
    <t>5.4</t>
  </si>
  <si>
    <t>Repetições</t>
  </si>
  <si>
    <t>5.5</t>
  </si>
  <si>
    <t>COMP. 3</t>
  </si>
  <si>
    <t>4.4</t>
  </si>
  <si>
    <t>COMP. 4</t>
  </si>
  <si>
    <t>COMP. 5</t>
  </si>
  <si>
    <t>SERVENTE COM ENCARGOS COMPLEMENTARES</t>
  </si>
  <si>
    <t>Coef.</t>
  </si>
  <si>
    <t>COMP. 6</t>
  </si>
  <si>
    <t>7697</t>
  </si>
  <si>
    <t>* Referência: 73631 (SINAPI)</t>
  </si>
  <si>
    <t>GUINDAUTO HIDRÁULICO, CAPACIDADE MÁXIMA DE CARGA 3300 KG, MOMENTO MÁXIMO DE CARGA 5,8 TM, ALCANCE MÁXIMO HORIZONTAL 7,60 M, INCLUSIVE CAMINHÃO TOCO PBT 16.000 KG, POTÊNCIA DE 189 CV - CHP DIURNO. AF_03/2016</t>
  </si>
  <si>
    <t>CHP</t>
  </si>
  <si>
    <t>Instalação das vigas de sustentação da passarela</t>
  </si>
  <si>
    <t>Dias</t>
  </si>
  <si>
    <t>Horas</t>
  </si>
  <si>
    <t>92970</t>
  </si>
  <si>
    <t>DEMOLIÇÃO DE PAVIMENTAÇÃO ASFÁLTICA COM UTILIZAÇÃO DE MARTELO PERFURADOR, ESPESSURA ATÉ 15 CM, EXCLUSIVE CARGA E TRANSPORTE</t>
  </si>
  <si>
    <t>CALHA EM CHAPA DE AÇO GALVANIZADO NÚMERO 24, DESENVOLVIMENTO DE 33 CM, INCLUSO TRANSPORTE VERTICAL. AF_06/2016</t>
  </si>
  <si>
    <t>5.6</t>
  </si>
  <si>
    <t xml:space="preserve">Projeto arquitetônico prancha 02/03 </t>
  </si>
  <si>
    <t>COMP. 7</t>
  </si>
  <si>
    <t>COMP. 8</t>
  </si>
  <si>
    <r>
      <t xml:space="preserve">OBRA: </t>
    </r>
    <r>
      <rPr>
        <sz val="8"/>
        <color theme="1"/>
        <rFont val="Century Gothic"/>
        <family val="2"/>
      </rPr>
      <t>CONSTRUÇÃO DE PASSARELA COM COBERTURA</t>
    </r>
  </si>
  <si>
    <r>
      <t xml:space="preserve">LOCAL: </t>
    </r>
    <r>
      <rPr>
        <sz val="8"/>
        <color theme="1"/>
        <rFont val="Century Gothic"/>
        <family val="2"/>
      </rPr>
      <t>CENTRO, ITARANA - ES</t>
    </r>
  </si>
  <si>
    <t>MATHEUS SOFISTE TEIXEIRA</t>
  </si>
  <si>
    <t>ENG. CIVIL - CREA-ES 034017/D</t>
  </si>
  <si>
    <r>
      <t xml:space="preserve">OBRA: </t>
    </r>
    <r>
      <rPr>
        <sz val="8"/>
        <rFont val="Century Gothic"/>
        <family val="2"/>
      </rPr>
      <t>CONSTRUÇÃO DE PASSARELA COM COBERTURA</t>
    </r>
  </si>
  <si>
    <r>
      <t xml:space="preserve">LOCAL: </t>
    </r>
    <r>
      <rPr>
        <sz val="8"/>
        <rFont val="Century Gothic"/>
        <family val="2"/>
      </rPr>
      <t>CENTRO, ITARANA - ES</t>
    </r>
  </si>
  <si>
    <r>
      <t xml:space="preserve">REFERENCIAL: </t>
    </r>
    <r>
      <rPr>
        <sz val="8"/>
        <rFont val="Century Gothic"/>
        <family val="2"/>
      </rPr>
      <t>SINAPI</t>
    </r>
  </si>
  <si>
    <r>
      <rPr>
        <b/>
        <sz val="8"/>
        <rFont val="Century Gothic"/>
        <family val="2"/>
      </rPr>
      <t>BDI:</t>
    </r>
    <r>
      <rPr>
        <sz val="8"/>
        <rFont val="Century Gothic"/>
        <family val="2"/>
      </rPr>
      <t xml:space="preserve"> 28,50%</t>
    </r>
  </si>
  <si>
    <t>Guarda-corpo</t>
  </si>
  <si>
    <t>Placas de ancoragem</t>
  </si>
  <si>
    <t>Vigas de sustentação da passarela</t>
  </si>
  <si>
    <t>Estrutura da cobertura</t>
  </si>
  <si>
    <t>Superfície</t>
  </si>
  <si>
    <r>
      <t>Administração Central -</t>
    </r>
    <r>
      <rPr>
        <b/>
        <sz val="8"/>
        <rFont val="Century Gothic"/>
        <family val="2"/>
      </rPr>
      <t xml:space="preserve"> AC</t>
    </r>
  </si>
  <si>
    <r>
      <t>Riscos -</t>
    </r>
    <r>
      <rPr>
        <b/>
        <sz val="8"/>
        <rFont val="Century Gothic"/>
        <family val="2"/>
      </rPr>
      <t xml:space="preserve"> R</t>
    </r>
  </si>
  <si>
    <r>
      <t>Seguros e Garantias Contratuais -</t>
    </r>
    <r>
      <rPr>
        <b/>
        <sz val="8"/>
        <rFont val="Century Gothic"/>
        <family val="2"/>
      </rPr>
      <t xml:space="preserve"> S+G</t>
    </r>
  </si>
  <si>
    <r>
      <t xml:space="preserve">Despesas e Encargos Financeiros - </t>
    </r>
    <r>
      <rPr>
        <b/>
        <sz val="8"/>
        <rFont val="Century Gothic"/>
        <family val="2"/>
      </rPr>
      <t>DF</t>
    </r>
  </si>
  <si>
    <r>
      <t>Lucro -</t>
    </r>
    <r>
      <rPr>
        <b/>
        <sz val="8"/>
        <rFont val="Century Gothic"/>
        <family val="2"/>
      </rPr>
      <t xml:space="preserve"> L</t>
    </r>
  </si>
  <si>
    <r>
      <t xml:space="preserve">BDI=    </t>
    </r>
    <r>
      <rPr>
        <u/>
        <sz val="8"/>
        <rFont val="Century Gothic"/>
        <family val="2"/>
      </rPr>
      <t>(1+(AC+S+R+G))(1+DF)(1+L))</t>
    </r>
    <r>
      <rPr>
        <sz val="8"/>
        <rFont val="Century Gothic"/>
        <family val="2"/>
      </rPr>
      <t xml:space="preserve">  -1 =</t>
    </r>
  </si>
  <si>
    <t>PINTURA ESMALTE FOSCO, DUAS DEMAOS, SOBRE SUPERFICIE METALICA, INCLUSO UMA DEMAO DE FUNDO ANTICORROSIVO. UTILIZACAO DE REVOLVER ( AR-COMPRIMIDO)</t>
  </si>
  <si>
    <t xml:space="preserve">74145/001 </t>
  </si>
  <si>
    <t>7.8</t>
  </si>
  <si>
    <t>COMPOSIÇÕES ANALÍTICAS DE CUSTOS</t>
  </si>
  <si>
    <t>LUMINÁRIA ARANDELA TIPO TARTARUGA PARA 1 LÂMPADA LED - FORNECIMENTO E INSTALAÇÃO. AF_11/2017</t>
  </si>
  <si>
    <t>ELETRODUTO DE AÇO GALVANIZADO, CLASSE LEVE, DN 20 MM (3/4), APARENTE , INSTALADO EM TETO - FORNECIMENTO E INSTALAÇÃO. AF_11/2016_P</t>
  </si>
  <si>
    <t>ADMINISTRATIVO LOCAL</t>
  </si>
  <si>
    <t>Confome composição 9</t>
  </si>
  <si>
    <t>Projeto arquitetônico prancha 01/03 (demolição de calçada anexa a ponte)</t>
  </si>
  <si>
    <r>
      <rPr>
        <b/>
        <sz val="8"/>
        <rFont val="Century Gothic"/>
        <family val="2"/>
      </rPr>
      <t>ENCARGOS SOCIAIS DES.</t>
    </r>
    <r>
      <rPr>
        <sz val="8"/>
        <rFont val="Century Gothic"/>
        <family val="2"/>
      </rPr>
      <t>: 87,24% (HORA), 49,724% (MÊS)</t>
    </r>
  </si>
  <si>
    <t>IMPERMEABILIZACAO DE SUPERFICIE COM ASFALTO ELASTOMERICO, INCLUSOS PRIMER E VEU DE FIBRA DE VIDRO.</t>
  </si>
  <si>
    <t>73762/004</t>
  </si>
  <si>
    <t xml:space="preserve">CAIXA DE PASSAGEM 30X30X40 COM TAMPA E DRENO BRITA </t>
  </si>
  <si>
    <t>PISO CIMENTADO, TRAÇO 1:3 (CIMENTO E AREIA), ACABAMENTO LISO, ESPESSURA 2,0 CM, PREPARO MECÂNICO DA ARGAMASSA. AF_06/2018</t>
  </si>
  <si>
    <t xml:space="preserve">PLANTIO DE GRAMA EM PLACAS. AF_05/2018 </t>
  </si>
  <si>
    <t>SOLDA DE TOPO EM CHAPA/PERFIL/TUBO DE AÇO CHANFRADO, ESPESSURA=1/4'' AF_06/2018</t>
  </si>
  <si>
    <t>FORNECIMENTO E INSTALAÇÃO DE PILAR METÁLICO INCLUSIVE ANCORAGEM (ITEM 1 - SUPORTE 1)</t>
  </si>
  <si>
    <t>FORNECIMENTO E INSTALAÇÃO DE VIGA METÁLICA INCLUSIVE ANCORAGEM (ITEM 2 - SUPORTE 2)</t>
  </si>
  <si>
    <t>FORNECIMENTO E INSTALAÇÃO DE VIGA METÁLICA INCLUSIVE ANCORAGEM (ITEM 3 - SUPORTE 3)</t>
  </si>
  <si>
    <t>FORNECIMENTO E INSTALAÇÃO DE PLATAFORMA METÁLICA (ITEM 4 - PLATAFORMA)</t>
  </si>
  <si>
    <t>FORNECIMENTO E INSTALAÇÃO DE TERÇAS PARA COBERTURA (ITEM 7 - TERÇA)</t>
  </si>
  <si>
    <t>CHAPA DE ACO GROSSA, ASTM A36, E = 5/8 " (15,88 MM) 124,49 KG/M2 (0,39 x 0,40m - ITEM  1.3)</t>
  </si>
  <si>
    <t>CHAPA DE ACO GROSSA, ASTM A36, E = 1/4 " (6,35 MM) 49,79 KG/M2 (enrijecedores - ITEM 1.4)</t>
  </si>
  <si>
    <t>CHAPA DE ACO GROSSA, ASTM A36, E = 5/8 " (15,88 MM) 124,49 KG/M2 (0,28 x 0,30m - ITEM 2.2)</t>
  </si>
  <si>
    <t>CHAPA DE ACO GROSSA, ASTM A36, E = 1/4 " (6,35 MM) 49,79 KG/M2 (enrijecedores - ITEM 2.3)</t>
  </si>
  <si>
    <t>CHAPA DE ACO GROSSA, ASTM A36, E = 5/8 " (15,88 MM) 124,49 KG/M2 (0,30 x 0,58m - ITEM 3.3)</t>
  </si>
  <si>
    <t>CHAPA DE ACO GROSSA, ASTM A36, E = 1/4 " (6,35 MM) 49,79 KG/M2 (enrijecedores - ITEM 3.4)</t>
  </si>
  <si>
    <t>CHAPA DE ACO GROSSA, ASTM A36, E = 1/4 " (6,35 MM) 49,79 KG/M2 (enrijecedores - ITEM 3.5)</t>
  </si>
  <si>
    <t>GUARDA-CORPO EM TUBO DE ACO GALVANIZADO (TIPO 1)</t>
  </si>
  <si>
    <t>TUBO ACO GALVANIZADO COM COSTURA, CLASSE MEDIA, DN 1.1/2", E = *3,25* MM, PESO *3,61* KG/M (NBR 5580) - (ITEM 5.1)</t>
  </si>
  <si>
    <t>TUBO ACO GALVANIZADO COM COSTURA, CLASSE MEDIA, DN 3/4", E = *2,65* MM, PESO *1,58* KG/M (NBR 5580) - (ITEM 5.2)</t>
  </si>
  <si>
    <t>GUARDA-CORPO EM TUBO DE ACO GALVANIZADO (TIPO 2)</t>
  </si>
  <si>
    <t>TUBO ACO GALVANIZADO COM COSTURA, CLASSE MEDIA, DN 1.1/2", E = *3,25* MM, PESO *3,61* KG/M (NBR 5580) - (ITEM 6.1)</t>
  </si>
  <si>
    <t>TUBO ACO GALVANIZADO COM COSTURA, CLASSE MEDIA, DN 3/4", E = *2,65* MM, PESO *1,58* KG/M (NBR 5580) - (ITEM 6.2)</t>
  </si>
  <si>
    <t>CHAPA DE ACO GROSSA, ASTM A36, E = 1/4 " (6,35 MM) 49,79 KG/M2 (ITEM 6.3)</t>
  </si>
  <si>
    <t>MEMORIAIS DESCRITIVOS</t>
  </si>
  <si>
    <t>LOCACAO DE CONTAINER 2,30 X 6,00 M, ALT. 2,50 M, COM 1 SANITARIO, PARA ESCRITORIO, COMPLETO, SEM DIVISORIAS INTERNAS</t>
  </si>
  <si>
    <t>10775</t>
  </si>
  <si>
    <t>Mês</t>
  </si>
  <si>
    <t>COMP.</t>
  </si>
  <si>
    <t>ENCARREGADO GERAL COM ENCARGOS COMPLEMENTARES</t>
  </si>
  <si>
    <t>CARGA E DESCARGA MECANIZADAS DE ENTULHO EM CAMINHAO BASCULANTE 6 M3</t>
  </si>
  <si>
    <t>72898</t>
  </si>
  <si>
    <t>2.4</t>
  </si>
  <si>
    <t>TRANSPORTE DE ENTULHO COM CAMINHAO BASCULANTE 6 M3, RODOVIA PAVIMENTADA, DMT 0,5 A 1,0 KM</t>
  </si>
  <si>
    <t>72900</t>
  </si>
  <si>
    <t>KIT CAVALETE PARA MEDIÇÃO DE ÁGUA - ENTRADA PRINCIPAL, EM PVC SOLDÁVEL DN 20 (½") FORNECIMENTO E INSTALAÇÃO (EXCLUSIVE HIDRÔMETRO). AF_11/2016</t>
  </si>
  <si>
    <t>95634</t>
  </si>
  <si>
    <t>HIDRÔMETRO DN 20 (½), 1,5 M³/H FORNECIMENTO E INSTALAÇÃO. AF_11/2016</t>
  </si>
  <si>
    <t>95673</t>
  </si>
  <si>
    <t>Conforme Cronograma físico-financeiro</t>
  </si>
  <si>
    <t>Somatório do item 2.1 e 2.2</t>
  </si>
  <si>
    <t>Projeto Estrutural prancha 03/03 (Item 3)</t>
  </si>
  <si>
    <t>Projeto Estrutural prancha 03/03 (Item 2)</t>
  </si>
  <si>
    <t>Projeto Estrutural prancha 03/03 (Item 4)</t>
  </si>
  <si>
    <t>Projeto Estrutural prancha 03/03 (Item 1)</t>
  </si>
  <si>
    <t>Projeto Estrutural prancha 02/03 (Item 7)</t>
  </si>
  <si>
    <t>Projeto arquitetônico prancha 01/03 (realocação do poste)</t>
  </si>
  <si>
    <t>Projeto arquitetônico prancha 02/03 (lado sem a passarela)</t>
  </si>
  <si>
    <t>Projeto arquitetônico prancha 02/03 (Item 5.0)</t>
  </si>
  <si>
    <t>Projeto arquitetônico prancha 02/03 (Item 6.0)</t>
  </si>
  <si>
    <t>Plataforma</t>
  </si>
  <si>
    <t>Projeto arquitetônico prancha 03/03 (Item 4.0)</t>
  </si>
  <si>
    <t>Projeto arquitetônico prancha 03/03 (Item 2.2)</t>
  </si>
  <si>
    <t>Projeto arquitetônico prancha 03/03 (Item 3.3)</t>
  </si>
  <si>
    <t>Projeto arquitetônico prancha 03/03 (Item 1.3)</t>
  </si>
  <si>
    <t>Projeto arquitetônico prancha 03/03 (Item 2.1)</t>
  </si>
  <si>
    <t>Projeto arquitetônico prancha 03/03 (Item 3.1)</t>
  </si>
  <si>
    <t>Projeto arquitetônico prancha 03/03 (Item 1.1)</t>
  </si>
  <si>
    <t>Projeto arquitetônico prancha 03/03 (Item 1.2)</t>
  </si>
  <si>
    <t>Projeto arquitetônico prancha 02/03 (Item 7.1)</t>
  </si>
  <si>
    <t>Projeto arquitetônico prancha 02/03 (ripas)</t>
  </si>
  <si>
    <t>Item 2.1</t>
  </si>
  <si>
    <t>Espessura</t>
  </si>
  <si>
    <t>Item 2.2</t>
  </si>
  <si>
    <r>
      <t xml:space="preserve">DATA-BASE: </t>
    </r>
    <r>
      <rPr>
        <sz val="8"/>
        <rFont val="Century Gothic"/>
        <family val="2"/>
      </rPr>
      <t>03/2019</t>
    </r>
  </si>
  <si>
    <t>CHAPA DE ACO GROSSA, ASTM A36, E = 1/4 " (6,35 MM) 49,79 KG/M2 (enrijecedores - ITEM 2.4)</t>
  </si>
  <si>
    <t>* Memória de cálculo:</t>
  </si>
  <si>
    <t>88315:</t>
  </si>
  <si>
    <t>88316:</t>
  </si>
  <si>
    <t>98746:</t>
  </si>
  <si>
    <t>Enrijecedores com a chapa e perfil: (150 + 118) x 6 = 1608 mm</t>
  </si>
  <si>
    <t>1330:</t>
  </si>
  <si>
    <t>40536:</t>
  </si>
  <si>
    <t>1334:</t>
  </si>
  <si>
    <t>Considerado 6,15 horas para locação, preparo e chumbamento de cada pilar;</t>
  </si>
  <si>
    <t>Considerado 2,60 horas para locação, preparo e chumbamento de cada viga;</t>
  </si>
  <si>
    <t>Considerado 3,80 horas para locação, preparo e chumbamento de cada viga;</t>
  </si>
  <si>
    <t>mm</t>
  </si>
  <si>
    <t xml:space="preserve">Ponta do perfil horizontal (viga) com a chapa: 150 + 150 + 120 + 120 = </t>
  </si>
  <si>
    <t xml:space="preserve">Ponta do perfil horizontal com o vertical: 150 + 150 + 120 + 120 = </t>
  </si>
  <si>
    <t xml:space="preserve">Ponta do arco com perfil horizontal : 150 + 150 + 120 + 120 = </t>
  </si>
  <si>
    <t xml:space="preserve">Base do perfil vertical com a chapa: 150 + 150 + 120 + 120 = </t>
  </si>
  <si>
    <t xml:space="preserve">Enrijecedores com a chapa e perfil: (150 + 118) x 4 = </t>
  </si>
  <si>
    <t xml:space="preserve">Chapa de ancoragem, Item 1.3 (área x peso/m²): 0,39 x 0,40 x 124,49 = </t>
  </si>
  <si>
    <t>MERC.:</t>
  </si>
  <si>
    <t xml:space="preserve">Chumbador químico, item 1.5 (quantidade) = </t>
  </si>
  <si>
    <t>und</t>
  </si>
  <si>
    <t>Peça de fechamento do perfil horizontal (viga): 150 + 150 + 120 + 120 = 540 mm</t>
  </si>
  <si>
    <t xml:space="preserve">Chapa de ancoragem, item 2.2 (área x peso/m²): 0,28 x 0,30 x 124,49 = </t>
  </si>
  <si>
    <t xml:space="preserve">Peça de fechamento, Item 2.4 (área x peso/m²): 0,018 m² x 49,79 = </t>
  </si>
  <si>
    <t xml:space="preserve">Pontas da mão francesa com a viga e com a chapa: 540 + 540 = </t>
  </si>
  <si>
    <t>Enrijecedores com a chapa e perfil: (150 + 118) x 8 =</t>
  </si>
  <si>
    <t xml:space="preserve">Chapa de ancoragem, item 3.3 (área x peso/m²): 0,30 x 0,58 x 124,49 = </t>
  </si>
  <si>
    <t xml:space="preserve">Peça de fechamento, Item 3.5 (área x peso/m²): 0,018 m² x 49,79 = </t>
  </si>
  <si>
    <t xml:space="preserve">Chumbador químico, item 2.5 (quantidade) = </t>
  </si>
  <si>
    <t xml:space="preserve">Chumbador químico, item 3.6 (quantidade) = </t>
  </si>
  <si>
    <t xml:space="preserve">Perfil de apoio, Item 4.1 (compr. x peso/m): 53,876 x 10,233 = </t>
  </si>
  <si>
    <t>CHAPA DE ALUMINIO, E = 4 MM, L = 1000 MM - 10,8 KG/M2 (LIGA 1200 - H14) (ITEM 4.2)</t>
  </si>
  <si>
    <t>CANTONEIRA ACO ABAS IGUAIS (QUALQUER BITOLA), ESPESSURA ENTRE 1/8" E 1/4" (ITEM 4.3)</t>
  </si>
  <si>
    <t>11123:</t>
  </si>
  <si>
    <t xml:space="preserve">Chapa de piso, Item 4.2 (área. x peso/m²): 1,28 x 25,913 x 10,8 = </t>
  </si>
  <si>
    <t>4777:</t>
  </si>
  <si>
    <t>CENTO</t>
  </si>
  <si>
    <t>PARAFUSO ZINCADO, AUTOBROCANTE, FLANGEADO, 4,2 X 19 MM (ITEM 4.4)</t>
  </si>
  <si>
    <t>40547:</t>
  </si>
  <si>
    <t xml:space="preserve">Entre os perfis "U": 1698 x 2 = </t>
  </si>
  <si>
    <t>Entre os perfis "U": 2144 x 2 =</t>
  </si>
  <si>
    <t xml:space="preserve">Entre os perfis "U": 2144 x 2 = </t>
  </si>
  <si>
    <t xml:space="preserve">Entre os perfis "U": 888 x 2 = </t>
  </si>
  <si>
    <t>Perfis "U" com a viga de apoio: ((120+120+60+60) x 2) x 13 =</t>
  </si>
  <si>
    <t xml:space="preserve">Viga, Item 1.2 (compr. x peso/m x 2): 1,698 x 10,233 x 2 = </t>
  </si>
  <si>
    <t xml:space="preserve">Viga, Item 2.1 (compr. x peso/m x 2): 2,144 x 10,233 x 2 = </t>
  </si>
  <si>
    <t xml:space="preserve">Viga, Item 3.1 (compr. x peso/m x 2): 2,144 x 10,233 x 2 = </t>
  </si>
  <si>
    <t xml:space="preserve">Mão francesa, Item 3.2 (compr. x peso/m x 2): 0,888 x 10,233 x 2 = </t>
  </si>
  <si>
    <t xml:space="preserve">Entre os perfis "U": 3750 x 2 = </t>
  </si>
  <si>
    <t xml:space="preserve">Terça, Item 7.1 (compr. x peso/m x 2): 3,75 x 3,912 x 2 = </t>
  </si>
  <si>
    <t>Considerado 1,00 hora para locação, preparo e montagem de cada peça;</t>
  </si>
  <si>
    <t>Cant. de travamento, item 4.3 (compr. x quant. peso/m): 1,29 x 52 x 3,66</t>
  </si>
  <si>
    <t>Quant. = Comprimento / espaçamento = 25,913 / 0,50 =</t>
  </si>
  <si>
    <t xml:space="preserve">Cantoneira com o perfil de apoio: 50,8 x 8 x 52 = </t>
  </si>
  <si>
    <t>7697:</t>
  </si>
  <si>
    <t>7700:</t>
  </si>
  <si>
    <t>Considerado 18,93 horas para locação, preparo e montagem;</t>
  </si>
  <si>
    <t>Considerado 0,28 horas para locação, preparo e montagem;</t>
  </si>
  <si>
    <t xml:space="preserve">Tubo (3/4"), Item 6.2 (compr.): </t>
  </si>
  <si>
    <t>Tubo (1.1/2"), Item 6.1 (compr.): (27,00 + 24 x 1,10) / 27,00</t>
  </si>
  <si>
    <t>Parafuso, Item 6.4 (quantidade): 4 x 23 / 27</t>
  </si>
  <si>
    <t>Considerado 20,82 horas para locação, preparo, montagem e chumbamento;</t>
  </si>
  <si>
    <t>Considerado 0,31 horas para locação, preparo, montagem e chumbamento;</t>
  </si>
  <si>
    <r>
      <t xml:space="preserve">Projeto elétrico prancha 01/01 - </t>
    </r>
    <r>
      <rPr>
        <b/>
        <sz val="8"/>
        <rFont val="Century Gothic"/>
        <family val="2"/>
      </rPr>
      <t>Eletroduto vertical que desce do rele fotoeletrico</t>
    </r>
  </si>
  <si>
    <t>Chapa de base, Item 6.3 (área x peso x quant.): 0,15 x 0,15 x 49,79 x 24 / 27</t>
  </si>
  <si>
    <t>PERFIL "U" ENRIJECIDO DE ACO GALVANIZADO, DOBRADO, 150 X 60 X 20 MM, E = 4,75 MM (PEÇA COM 6.000MM DE COMPRIMENTO E PESO DE 61,40KG) (PILAR E ARCO - ITEM 1.1 / VIGA - ITEM 1.2)</t>
  </si>
  <si>
    <t>PERFIL "U" ENRIJECIDO DE ACO GALVANIZADO, DOBRADO, 150 X 60 X 20 MM, E = 4,75 MM (PEÇA COM 6.000MM DE COMPRIMENTO E PESO DE 61,40KG) (Viga - ITEM 2.1)</t>
  </si>
  <si>
    <t>PERFIL "U" ENRIJECIDO DE ACO GALVANIZADO, DOBRADO, 150 X 60 X 20 MM, E = 4,75 MM (PEÇA COM 6.000MM DE COMPRIMENTO E PESO DE 61,40KG)  (Viga - ITEM 3.1 E 3.2)</t>
  </si>
  <si>
    <t>PERFIL "U" ENRIJECIDO DE ACO GALVANIZADO, DOBRADO, 150 X 60 X 20 MM, E = 4,75 MM (PEÇA COM 6.000MM DE COMPRIMENTO E PESO DE 61,40KG (plataforma - ITEM 4.1)</t>
  </si>
  <si>
    <t>PERFIL "U" ENRIJECIDO DE ACO GALVANIZADO, DOBRADO, 100 X 50 X 17, E = 2,25 MM (PEÇA COM 6.000MM DE COMPRIMENTO E PESO DE 23,47KG) (Terça - ITEM 7.1)</t>
  </si>
  <si>
    <t>CHUMBADOR DE EXPANSÃO DN 3/4" X 100</t>
  </si>
  <si>
    <t>ART'S</t>
  </si>
  <si>
    <t>CHUMBADOR RB Ø 3/4 (ITEM 1.5)</t>
  </si>
  <si>
    <t>HASTE ROSCADA INOX 316 3/4 X 250 C/P E ARRUELA (ITEM 1.5)</t>
  </si>
  <si>
    <t xml:space="preserve">Ponta do perfil horizontal com o vertical: (100 + 100 + 100 + 100) x 2 = </t>
  </si>
  <si>
    <t>Considerado 46,35 horas para locação, preparo e montagem da plataforma;</t>
  </si>
  <si>
    <t xml:space="preserve">Pilar + arco, item 1.1 (compr. x peso/m x 2): 5,608 x 10,233 x 2 = </t>
  </si>
  <si>
    <t xml:space="preserve">Entre os perfis "U": 5608 x 2 = </t>
  </si>
  <si>
    <t>Enrijecedores, Item 1.4 (área x peso/m² x quantidade): 0,013508 m² x 49,79 x 2 =</t>
  </si>
  <si>
    <t xml:space="preserve">Enrijecedores, Item 2.3 (área x peso/m² x quantidade): 0,013508 m² x 49,79 x 3 = </t>
  </si>
  <si>
    <t xml:space="preserve">Enrijecedores, Item 3.4 (área x peso/m² x quantidade): 0,013508 m² x 49,79 x 4 = </t>
  </si>
  <si>
    <t xml:space="preserve">Fixação da chapa com o perfil e cantoneira, item 4.4 (compr./espaçamento): </t>
  </si>
  <si>
    <t>Base dos tubos verticais (1.1/2"): 0,8773 (circunf.) x 23 (unid.) / 25,95 (compr.)</t>
  </si>
  <si>
    <t>Ponta dos tubos horizontais (1.1/2"): 0,8773 (circunf.) x 2 (pontas) x 22 (vãos) / 25,95 (compr.)</t>
  </si>
  <si>
    <t>Ponta dos tubos horizontais (3/4"): 0,0598 (circunf.) x 2 (pontas) x 6 (quant.) x 22 (vãos) / 25,95 (compr.)</t>
  </si>
  <si>
    <t>Tubo (1.1/2"), Item 5.1 (compr.): (25,95 (horiz.) + 23 (vert.) x 1,10) / 25,95</t>
  </si>
  <si>
    <t>Tubo (3/4"), Item 5.2 (compr.):</t>
  </si>
  <si>
    <t>Ponta dos tubos horizontais (1.1/2"): 0,8773 (circunf.) x 2 (pontas) x 23 (vãos) / 27 (compr.)</t>
  </si>
  <si>
    <t>Ponta dos tubos horizontais (3/4"): 0,0598 (circunf.) x 2 (pontas) x 6 (quant.) x 23 (vãos) / 27 (compr.)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</si>
</sst>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 #,##0.00_-;_-* &quot;-&quot;??_-;_-@_-"/>
    <numFmt numFmtId="164" formatCode="_(* #,##0.00_);_(* \(#,##0.00\);_(* &quot;-&quot;??_);_(@_)"/>
    <numFmt numFmtId="165" formatCode="_(* #,##0.00_);_(* \(#,##0.00\);_(* \-??_);_(@_)"/>
    <numFmt numFmtId="166" formatCode="_-&quot;€ &quot;* #,##0.00_-;&quot;-€ &quot;* #,##0.00_-;_-&quot;€ &quot;* \-??_-;_-@_-"/>
    <numFmt numFmtId="167" formatCode="_(&quot;R$ &quot;* #,##0.00_);_(&quot;R$ &quot;* \(#,##0.00\);_(&quot;R$ &quot;* &quot;-&quot;??_);_(@_)"/>
    <numFmt numFmtId="168" formatCode="#,##0.00_ ;\-#,##0.00\ "/>
    <numFmt numFmtId="169" formatCode="#,##0.0000"/>
    <numFmt numFmtId="170" formatCode="0.0%"/>
    <numFmt numFmtId="171" formatCode="_(* #,##0.0000_);_(* \(#,##0.0000\);_(* &quot;-&quot;??_);_(@_)"/>
    <numFmt numFmtId="172" formatCode="_(* #,##0.000_);_(* \(#,##0.000\);_(* &quot;-&quot;??_);_(@_)"/>
    <numFmt numFmtId="173" formatCode="_-* #,##0.0000_-;\-* #,##0.0000_-;_-* &quot;-&quot;????_-;_-@_-"/>
    <numFmt numFmtId="174" formatCode="0.0000"/>
  </numFmts>
  <fonts count="6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1"/>
      <color indexed="8"/>
      <name val="Calibri"/>
      <family val="2"/>
    </font>
    <font>
      <sz val="11"/>
      <color indexed="9"/>
      <name val="Calibri"/>
      <family val="2"/>
    </font>
    <font>
      <sz val="8"/>
      <color indexed="8"/>
      <name val="Arial Narrow"/>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sz val="10"/>
      <color theme="1"/>
      <name val="Arial"/>
      <family val="2"/>
    </font>
    <font>
      <sz val="10"/>
      <name val="Arial"/>
      <family val="2"/>
    </font>
    <font>
      <b/>
      <sz val="14"/>
      <color theme="1"/>
      <name val="Century Gothic"/>
      <family val="2"/>
    </font>
    <font>
      <b/>
      <sz val="10"/>
      <name val="Century Gothic"/>
      <family val="2"/>
    </font>
    <font>
      <sz val="10"/>
      <name val="Century Gothic"/>
      <family val="2"/>
    </font>
    <font>
      <b/>
      <sz val="16"/>
      <name val="Century Gothic"/>
      <family val="2"/>
    </font>
    <font>
      <sz val="14"/>
      <name val="Century Gothic"/>
      <family val="2"/>
    </font>
    <font>
      <sz val="8"/>
      <name val="Century Gothic"/>
      <family val="2"/>
    </font>
    <font>
      <b/>
      <sz val="8"/>
      <name val="Century Gothic"/>
      <family val="2"/>
    </font>
    <font>
      <sz val="8"/>
      <name val="Arial"/>
      <family val="2"/>
    </font>
    <font>
      <b/>
      <sz val="14"/>
      <name val="Century Gothic"/>
      <family val="2"/>
    </font>
    <font>
      <sz val="8"/>
      <color theme="1"/>
      <name val="Century Gothic"/>
      <family val="2"/>
    </font>
    <font>
      <b/>
      <sz val="8"/>
      <color theme="1"/>
      <name val="Century Gothic"/>
      <family val="2"/>
    </font>
    <font>
      <sz val="8"/>
      <color rgb="FF000000"/>
      <name val="Century Gothic"/>
      <family val="2"/>
    </font>
    <font>
      <b/>
      <sz val="8"/>
      <color rgb="FF000000"/>
      <name val="Century Gothic"/>
      <family val="2"/>
    </font>
    <font>
      <sz val="7"/>
      <name val="Century Gothic"/>
      <family val="2"/>
    </font>
    <font>
      <b/>
      <i/>
      <sz val="8"/>
      <name val="Century Gothic"/>
      <family val="2"/>
    </font>
    <font>
      <b/>
      <shadow/>
      <sz val="8"/>
      <name val="Century Gothic"/>
      <family val="2"/>
    </font>
    <font>
      <sz val="12"/>
      <name val="Century Gothic"/>
      <family val="2"/>
    </font>
    <font>
      <b/>
      <sz val="12"/>
      <color indexed="8"/>
      <name val="Arial"/>
      <family val="2"/>
    </font>
    <font>
      <sz val="12"/>
      <color indexed="8"/>
      <name val="Arial"/>
      <family val="2"/>
    </font>
    <font>
      <b/>
      <sz val="10"/>
      <color indexed="8"/>
      <name val="Arial"/>
      <family val="2"/>
    </font>
    <font>
      <sz val="10"/>
      <color indexed="8"/>
      <name val="Arial"/>
      <family val="2"/>
    </font>
    <font>
      <sz val="3"/>
      <name val="Arial"/>
      <family val="2"/>
    </font>
    <font>
      <b/>
      <sz val="10"/>
      <color indexed="10"/>
      <name val="Arial"/>
      <family val="2"/>
    </font>
    <font>
      <sz val="10"/>
      <color indexed="8"/>
      <name val="Calibri"/>
      <family val="2"/>
    </font>
    <font>
      <sz val="9"/>
      <color indexed="81"/>
      <name val="Segoe UI"/>
      <family val="2"/>
    </font>
    <font>
      <b/>
      <sz val="9"/>
      <color indexed="81"/>
      <name val="Tahoma"/>
      <family val="2"/>
    </font>
    <font>
      <sz val="9"/>
      <color indexed="81"/>
      <name val="Tahoma"/>
      <family val="2"/>
    </font>
    <font>
      <sz val="10"/>
      <color indexed="81"/>
      <name val="Tahoma"/>
      <family val="2"/>
    </font>
    <font>
      <b/>
      <sz val="10"/>
      <color indexed="81"/>
      <name val="Tahoma"/>
      <family val="2"/>
    </font>
    <font>
      <sz val="11"/>
      <name val="Arial"/>
      <family val="1"/>
    </font>
    <font>
      <b/>
      <sz val="8"/>
      <color indexed="8"/>
      <name val="Century Gothic"/>
      <family val="2"/>
    </font>
    <font>
      <sz val="8"/>
      <color indexed="8"/>
      <name val="Century Gothic"/>
      <family val="2"/>
    </font>
    <font>
      <i/>
      <sz val="8"/>
      <name val="Century Gothic"/>
      <family val="2"/>
    </font>
    <font>
      <u/>
      <sz val="8"/>
      <name val="Century Gothic"/>
      <family val="2"/>
    </font>
    <font>
      <b/>
      <sz val="12"/>
      <name val="Century Gothic"/>
      <family val="2"/>
    </font>
    <font>
      <b/>
      <sz val="12"/>
      <color indexed="8"/>
      <name val="Century Gothic"/>
      <family val="2"/>
    </font>
    <font>
      <sz val="11"/>
      <name val="Arial"/>
      <family val="2"/>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0.249977111117893"/>
        <bgColor rgb="FF000000"/>
      </patternFill>
    </fill>
    <fill>
      <patternFill patternType="solid">
        <fgColor rgb="FFF2F2F2"/>
        <bgColor rgb="FF000000"/>
      </patternFill>
    </fill>
    <fill>
      <patternFill patternType="solid">
        <fgColor theme="0" tint="-0.14999847407452621"/>
        <bgColor rgb="FF000000"/>
      </patternFill>
    </fill>
    <fill>
      <patternFill patternType="solid">
        <fgColor theme="0" tint="-4.9989318521683403E-2"/>
        <bgColor indexed="64"/>
      </patternFill>
    </fill>
    <fill>
      <patternFill patternType="solid">
        <fgColor indexed="26"/>
        <bgColor indexed="64"/>
      </patternFill>
    </fill>
    <fill>
      <patternFill patternType="solid">
        <fgColor indexed="55"/>
        <bgColor indexed="64"/>
      </patternFill>
    </fill>
  </fills>
  <borders count="22">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91">
    <xf numFmtId="0" fontId="0" fillId="0" borderId="0"/>
    <xf numFmtId="164" fontId="6" fillId="0" borderId="0" applyFont="0" applyFill="0" applyBorder="0" applyAlignment="0" applyProtection="0"/>
    <xf numFmtId="164" fontId="8" fillId="0" borderId="0" applyFont="0" applyFill="0" applyBorder="0" applyAlignment="0" applyProtection="0"/>
    <xf numFmtId="0" fontId="8" fillId="0" borderId="0"/>
    <xf numFmtId="0" fontId="9" fillId="2" borderId="0" applyNumberFormat="0" applyBorder="0" applyAlignment="0" applyProtection="0"/>
    <xf numFmtId="0" fontId="9" fillId="3"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5" borderId="0" applyNumberFormat="0" applyBorder="0" applyAlignment="0" applyProtection="0"/>
    <xf numFmtId="0" fontId="9" fillId="8" borderId="0" applyNumberFormat="0" applyBorder="0" applyAlignment="0" applyProtection="0"/>
    <xf numFmtId="0" fontId="9" fillId="11"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9" borderId="0" applyNumberFormat="0" applyBorder="0" applyAlignment="0" applyProtection="0"/>
    <xf numFmtId="0" fontId="11" fillId="0" borderId="1" applyNumberFormat="0" applyFont="0" applyAlignment="0">
      <alignment horizontal="left" vertical="top" indent="1"/>
    </xf>
    <xf numFmtId="0" fontId="12" fillId="3" borderId="0" applyNumberFormat="0" applyBorder="0" applyAlignment="0" applyProtection="0"/>
    <xf numFmtId="0" fontId="13" fillId="20" borderId="10" applyNumberFormat="0" applyAlignment="0" applyProtection="0"/>
    <xf numFmtId="0" fontId="14" fillId="21" borderId="11" applyNumberFormat="0" applyAlignment="0" applyProtection="0"/>
    <xf numFmtId="165" fontId="8" fillId="0" borderId="0" applyFill="0" applyBorder="0" applyAlignment="0" applyProtection="0"/>
    <xf numFmtId="166" fontId="8" fillId="0" borderId="0" applyFill="0" applyBorder="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0" borderId="12" applyNumberFormat="0" applyFill="0" applyAlignment="0" applyProtection="0"/>
    <xf numFmtId="0" fontId="18" fillId="0" borderId="13" applyNumberFormat="0" applyFill="0" applyAlignment="0" applyProtection="0"/>
    <xf numFmtId="0" fontId="19" fillId="0" borderId="14" applyNumberFormat="0" applyFill="0" applyAlignment="0" applyProtection="0"/>
    <xf numFmtId="0" fontId="19" fillId="0" borderId="0" applyNumberFormat="0" applyFill="0" applyBorder="0" applyAlignment="0" applyProtection="0"/>
    <xf numFmtId="0" fontId="20" fillId="7" borderId="10" applyNumberFormat="0" applyAlignment="0" applyProtection="0"/>
    <xf numFmtId="0" fontId="21" fillId="0" borderId="15" applyNumberFormat="0" applyFill="0" applyAlignment="0" applyProtection="0"/>
    <xf numFmtId="167" fontId="9" fillId="0" borderId="0" applyFont="0" applyFill="0" applyBorder="0" applyAlignment="0" applyProtection="0"/>
    <xf numFmtId="0" fontId="22" fillId="22" borderId="0" applyNumberFormat="0" applyBorder="0" applyAlignment="0" applyProtection="0"/>
    <xf numFmtId="0" fontId="9" fillId="0" borderId="0"/>
    <xf numFmtId="0" fontId="8" fillId="23" borderId="16" applyNumberFormat="0" applyFont="0" applyAlignment="0" applyProtection="0"/>
    <xf numFmtId="0" fontId="23" fillId="20" borderId="17" applyNumberFormat="0" applyAlignment="0" applyProtection="0"/>
    <xf numFmtId="9" fontId="8" fillId="0" borderId="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164" fontId="9" fillId="0" borderId="0" applyFon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17" fillId="0" borderId="12" applyNumberFormat="0" applyFill="0" applyAlignment="0" applyProtection="0"/>
    <xf numFmtId="0" fontId="25" fillId="0" borderId="0" applyNumberFormat="0" applyFill="0" applyBorder="0" applyAlignment="0" applyProtection="0"/>
    <xf numFmtId="164" fontId="6" fillId="0" borderId="0" applyFont="0" applyFill="0" applyBorder="0" applyAlignment="0" applyProtection="0"/>
    <xf numFmtId="0" fontId="5" fillId="0" borderId="0"/>
    <xf numFmtId="164" fontId="6" fillId="0" borderId="0" applyFont="0" applyFill="0" applyBorder="0" applyAlignment="0" applyProtection="0"/>
    <xf numFmtId="164" fontId="6" fillId="0" borderId="0" applyFont="0" applyFill="0" applyBorder="0" applyAlignment="0" applyProtection="0"/>
    <xf numFmtId="0" fontId="4"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165" fontId="6" fillId="0" borderId="0" applyFill="0" applyBorder="0" applyAlignment="0" applyProtection="0"/>
    <xf numFmtId="166" fontId="6" fillId="0" borderId="0" applyFill="0" applyBorder="0" applyAlignment="0" applyProtection="0"/>
    <xf numFmtId="0" fontId="6" fillId="23" borderId="16" applyNumberFormat="0" applyFont="0" applyAlignment="0" applyProtection="0"/>
    <xf numFmtId="9" fontId="6" fillId="0" borderId="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43" fontId="9"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3" fillId="0" borderId="0"/>
    <xf numFmtId="0" fontId="3" fillId="0" borderId="0"/>
    <xf numFmtId="43" fontId="6" fillId="0" borderId="0" applyFont="0" applyFill="0" applyBorder="0" applyAlignment="0" applyProtection="0"/>
    <xf numFmtId="43" fontId="6" fillId="0" borderId="0" applyFont="0" applyFill="0" applyBorder="0" applyAlignment="0" applyProtection="0"/>
    <xf numFmtId="43" fontId="9"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9" fontId="27" fillId="0" borderId="0" applyFont="0" applyFill="0" applyBorder="0" applyAlignment="0" applyProtection="0"/>
    <xf numFmtId="0" fontId="6" fillId="0" borderId="0"/>
    <xf numFmtId="0" fontId="2" fillId="0" borderId="0"/>
    <xf numFmtId="167" fontId="6" fillId="0" borderId="0" applyFont="0" applyFill="0" applyBorder="0" applyAlignment="0" applyProtection="0"/>
    <xf numFmtId="43" fontId="2" fillId="0" borderId="0" applyFont="0" applyFill="0" applyBorder="0" applyAlignment="0" applyProtection="0"/>
    <xf numFmtId="0" fontId="6" fillId="0" borderId="0"/>
    <xf numFmtId="0" fontId="1" fillId="0" borderId="0"/>
    <xf numFmtId="9" fontId="9" fillId="0" borderId="0" applyFont="0" applyFill="0" applyBorder="0" applyAlignment="0" applyProtection="0"/>
    <xf numFmtId="0" fontId="57" fillId="0" borderId="0"/>
    <xf numFmtId="0" fontId="9" fillId="0" borderId="0"/>
  </cellStyleXfs>
  <cellXfs count="347">
    <xf numFmtId="0" fontId="0" fillId="0" borderId="0" xfId="0"/>
    <xf numFmtId="4" fontId="0" fillId="0" borderId="0" xfId="0" applyNumberFormat="1" applyAlignment="1">
      <alignment horizontal="center" vertical="center"/>
    </xf>
    <xf numFmtId="4" fontId="8" fillId="0" borderId="4" xfId="0" applyNumberFormat="1" applyFont="1" applyBorder="1" applyAlignment="1">
      <alignment horizontal="center" vertical="center"/>
    </xf>
    <xf numFmtId="4" fontId="26" fillId="0" borderId="0" xfId="0" applyNumberFormat="1" applyFont="1" applyFill="1" applyAlignment="1">
      <alignment horizontal="center" vertical="center"/>
    </xf>
    <xf numFmtId="4" fontId="7" fillId="0" borderId="0" xfId="0" applyNumberFormat="1" applyFont="1" applyFill="1" applyAlignment="1">
      <alignment horizontal="center" vertical="center"/>
    </xf>
    <xf numFmtId="4" fontId="0" fillId="0" borderId="0" xfId="1" applyNumberFormat="1" applyFont="1" applyFill="1" applyAlignment="1">
      <alignment horizontal="center" vertical="center"/>
    </xf>
    <xf numFmtId="4" fontId="6" fillId="0" borderId="4" xfId="0" applyNumberFormat="1" applyFont="1" applyBorder="1" applyAlignment="1">
      <alignment horizontal="center" vertical="center"/>
    </xf>
    <xf numFmtId="4" fontId="0" fillId="0" borderId="0" xfId="0" applyNumberFormat="1" applyFill="1" applyAlignment="1">
      <alignment horizontal="center" vertical="center"/>
    </xf>
    <xf numFmtId="4" fontId="6" fillId="0" borderId="0" xfId="0" applyNumberFormat="1" applyFont="1" applyFill="1" applyAlignment="1">
      <alignment horizontal="center" vertical="center"/>
    </xf>
    <xf numFmtId="4" fontId="6" fillId="0" borderId="0" xfId="0" applyNumberFormat="1" applyFont="1" applyAlignment="1">
      <alignment horizontal="center" vertical="center"/>
    </xf>
    <xf numFmtId="4" fontId="6" fillId="24" borderId="0" xfId="0" applyNumberFormat="1" applyFont="1" applyFill="1" applyAlignment="1">
      <alignment horizontal="center" vertical="center"/>
    </xf>
    <xf numFmtId="4" fontId="6" fillId="24" borderId="4" xfId="0" applyNumberFormat="1" applyFont="1" applyFill="1" applyBorder="1" applyAlignment="1">
      <alignment horizontal="center" vertical="center"/>
    </xf>
    <xf numFmtId="4" fontId="26" fillId="24" borderId="0" xfId="0" applyNumberFormat="1" applyFont="1" applyFill="1" applyAlignment="1">
      <alignment horizontal="center" vertical="center"/>
    </xf>
    <xf numFmtId="4" fontId="7" fillId="24" borderId="0" xfId="0" applyNumberFormat="1" applyFont="1" applyFill="1" applyAlignment="1">
      <alignment horizontal="center" vertical="center"/>
    </xf>
    <xf numFmtId="4" fontId="0" fillId="24" borderId="0" xfId="0" applyNumberFormat="1" applyFill="1" applyAlignment="1">
      <alignment horizontal="center" vertical="center"/>
    </xf>
    <xf numFmtId="4" fontId="0" fillId="0" borderId="0" xfId="0" applyNumberFormat="1" applyBorder="1" applyAlignment="1">
      <alignment horizontal="center" vertical="center"/>
    </xf>
    <xf numFmtId="4" fontId="8" fillId="0" borderId="0" xfId="0" applyNumberFormat="1" applyFont="1" applyBorder="1" applyAlignment="1">
      <alignment horizontal="center" vertical="center"/>
    </xf>
    <xf numFmtId="0" fontId="0" fillId="24" borderId="0" xfId="0" applyFill="1" applyBorder="1"/>
    <xf numFmtId="0" fontId="30" fillId="24" borderId="0" xfId="0" applyFont="1" applyFill="1" applyBorder="1"/>
    <xf numFmtId="0" fontId="32" fillId="24" borderId="0" xfId="0" applyFont="1" applyFill="1" applyBorder="1" applyAlignment="1"/>
    <xf numFmtId="164" fontId="34" fillId="25" borderId="8" xfId="1" applyFont="1" applyFill="1" applyBorder="1" applyAlignment="1">
      <alignment horizontal="center" vertical="center"/>
    </xf>
    <xf numFmtId="4" fontId="33" fillId="0" borderId="8" xfId="1" applyNumberFormat="1" applyFont="1" applyFill="1" applyBorder="1" applyAlignment="1">
      <alignment horizontal="center" vertical="center"/>
    </xf>
    <xf numFmtId="4" fontId="35" fillId="24" borderId="0" xfId="0" applyNumberFormat="1" applyFont="1" applyFill="1" applyBorder="1" applyAlignment="1">
      <alignment horizontal="center" vertical="center"/>
    </xf>
    <xf numFmtId="4" fontId="35" fillId="24" borderId="0" xfId="1" applyNumberFormat="1" applyFont="1" applyFill="1" applyBorder="1" applyAlignment="1">
      <alignment horizontal="center" vertical="center"/>
    </xf>
    <xf numFmtId="164" fontId="34" fillId="24" borderId="0" xfId="1" applyFont="1" applyFill="1" applyBorder="1" applyAlignment="1">
      <alignment horizontal="right" vertical="center"/>
    </xf>
    <xf numFmtId="0" fontId="34" fillId="24" borderId="0" xfId="0" applyFont="1" applyFill="1" applyBorder="1" applyAlignment="1">
      <alignment vertical="center"/>
    </xf>
    <xf numFmtId="164" fontId="34" fillId="24" borderId="0" xfId="1" applyFont="1" applyFill="1" applyBorder="1" applyAlignment="1">
      <alignment horizontal="justify" vertical="center"/>
    </xf>
    <xf numFmtId="4" fontId="35" fillId="24" borderId="0" xfId="0" applyNumberFormat="1" applyFont="1" applyFill="1" applyBorder="1" applyAlignment="1">
      <alignment horizontal="justify" vertical="center" wrapText="1"/>
    </xf>
    <xf numFmtId="4" fontId="0" fillId="0" borderId="0" xfId="0" applyNumberFormat="1" applyFill="1" applyAlignment="1">
      <alignment horizontal="justify" vertical="center" wrapText="1"/>
    </xf>
    <xf numFmtId="0" fontId="0" fillId="0" borderId="0" xfId="0" applyBorder="1"/>
    <xf numFmtId="169" fontId="26" fillId="24" borderId="0" xfId="0" applyNumberFormat="1" applyFont="1" applyFill="1" applyAlignment="1">
      <alignment horizontal="center" vertical="center"/>
    </xf>
    <xf numFmtId="3" fontId="40" fillId="27" borderId="8" xfId="1" applyNumberFormat="1" applyFont="1" applyFill="1" applyBorder="1" applyAlignment="1">
      <alignment horizontal="center" vertical="center"/>
    </xf>
    <xf numFmtId="0" fontId="39" fillId="28" borderId="8" xfId="0" applyFont="1" applyFill="1" applyBorder="1" applyAlignment="1">
      <alignment horizontal="center" vertical="center"/>
    </xf>
    <xf numFmtId="0" fontId="39" fillId="0" borderId="8" xfId="0" applyFont="1" applyFill="1" applyBorder="1" applyAlignment="1">
      <alignment horizontal="center" vertical="center"/>
    </xf>
    <xf numFmtId="10" fontId="40" fillId="29" borderId="8" xfId="0" applyNumberFormat="1" applyFont="1" applyFill="1" applyBorder="1" applyAlignment="1">
      <alignment horizontal="right" vertical="center"/>
    </xf>
    <xf numFmtId="168" fontId="40" fillId="29" borderId="8" xfId="1" applyNumberFormat="1" applyFont="1" applyFill="1" applyBorder="1" applyAlignment="1">
      <alignment horizontal="right" vertical="center"/>
    </xf>
    <xf numFmtId="4" fontId="40" fillId="0" borderId="8" xfId="1" applyNumberFormat="1" applyFont="1" applyFill="1" applyBorder="1" applyAlignment="1">
      <alignment horizontal="right" vertical="center"/>
    </xf>
    <xf numFmtId="10" fontId="40" fillId="30" borderId="8" xfId="81" applyNumberFormat="1" applyFont="1" applyFill="1" applyBorder="1" applyAlignment="1">
      <alignment horizontal="right" vertical="center"/>
    </xf>
    <xf numFmtId="10" fontId="40" fillId="30" borderId="8" xfId="1" applyNumberFormat="1" applyFont="1" applyFill="1" applyBorder="1" applyAlignment="1">
      <alignment horizontal="right" vertical="center"/>
    </xf>
    <xf numFmtId="10" fontId="40" fillId="29" borderId="8" xfId="81" applyNumberFormat="1" applyFont="1" applyFill="1" applyBorder="1" applyAlignment="1">
      <alignment horizontal="right" vertical="center"/>
    </xf>
    <xf numFmtId="4" fontId="30" fillId="24" borderId="0" xfId="0" applyNumberFormat="1" applyFont="1" applyFill="1" applyBorder="1" applyAlignment="1">
      <alignment vertical="center" wrapText="1"/>
    </xf>
    <xf numFmtId="4" fontId="29" fillId="24" borderId="0" xfId="0" applyNumberFormat="1" applyFont="1" applyFill="1" applyBorder="1" applyAlignment="1">
      <alignment vertical="center" wrapText="1"/>
    </xf>
    <xf numFmtId="4" fontId="41" fillId="25" borderId="8" xfId="1" applyNumberFormat="1" applyFont="1" applyFill="1" applyBorder="1" applyAlignment="1">
      <alignment horizontal="center" vertical="center"/>
    </xf>
    <xf numFmtId="4" fontId="41" fillId="0" borderId="8" xfId="1" applyNumberFormat="1" applyFont="1" applyFill="1" applyBorder="1" applyAlignment="1">
      <alignment horizontal="right" vertical="center"/>
    </xf>
    <xf numFmtId="4" fontId="41" fillId="0" borderId="8" xfId="1" applyNumberFormat="1" applyFont="1" applyFill="1" applyBorder="1" applyAlignment="1">
      <alignment horizontal="center" vertical="center"/>
    </xf>
    <xf numFmtId="0" fontId="35" fillId="0" borderId="0" xfId="82" applyFont="1" applyFill="1"/>
    <xf numFmtId="0" fontId="33" fillId="0" borderId="0" xfId="82" applyFont="1" applyFill="1" applyBorder="1" applyAlignment="1">
      <alignment vertical="center"/>
    </xf>
    <xf numFmtId="49" fontId="34" fillId="26" borderId="8" xfId="82" applyNumberFormat="1" applyFont="1" applyFill="1" applyBorder="1" applyAlignment="1">
      <alignment horizontal="center" vertical="center" wrapText="1"/>
    </xf>
    <xf numFmtId="0" fontId="34" fillId="26" borderId="8" xfId="82" applyFont="1" applyFill="1" applyBorder="1" applyAlignment="1">
      <alignment horizontal="justify" vertical="center" wrapText="1"/>
    </xf>
    <xf numFmtId="0" fontId="34" fillId="26" borderId="8" xfId="82" applyFont="1" applyFill="1" applyBorder="1" applyAlignment="1">
      <alignment horizontal="center" vertical="center" wrapText="1"/>
    </xf>
    <xf numFmtId="0" fontId="33" fillId="26" borderId="7" xfId="82" applyFont="1" applyFill="1" applyBorder="1" applyAlignment="1">
      <alignment vertical="center"/>
    </xf>
    <xf numFmtId="0" fontId="33" fillId="26" borderId="9" xfId="82" applyFont="1" applyFill="1" applyBorder="1" applyAlignment="1">
      <alignment vertical="center"/>
    </xf>
    <xf numFmtId="0" fontId="33" fillId="30" borderId="6" xfId="82" applyFont="1" applyFill="1" applyBorder="1" applyAlignment="1">
      <alignment horizontal="center" vertical="center"/>
    </xf>
    <xf numFmtId="0" fontId="33" fillId="30" borderId="7" xfId="82" applyFont="1" applyFill="1" applyBorder="1" applyAlignment="1">
      <alignment horizontal="center" vertical="center"/>
    </xf>
    <xf numFmtId="49" fontId="33" fillId="24" borderId="8" xfId="82" applyNumberFormat="1" applyFont="1" applyFill="1" applyBorder="1" applyAlignment="1">
      <alignment horizontal="center" vertical="center" wrapText="1"/>
    </xf>
    <xf numFmtId="0" fontId="33" fillId="24" borderId="8" xfId="82" applyFont="1" applyFill="1" applyBorder="1" applyAlignment="1">
      <alignment horizontal="right" vertical="center"/>
    </xf>
    <xf numFmtId="2" fontId="33" fillId="24" borderId="7" xfId="82" applyNumberFormat="1" applyFont="1" applyFill="1" applyBorder="1" applyAlignment="1">
      <alignment horizontal="center"/>
    </xf>
    <xf numFmtId="2" fontId="33" fillId="24" borderId="7" xfId="82" applyNumberFormat="1" applyFont="1" applyFill="1" applyBorder="1" applyAlignment="1">
      <alignment horizontal="center" vertical="center"/>
    </xf>
    <xf numFmtId="0" fontId="33" fillId="30" borderId="9" xfId="82" applyFont="1" applyFill="1" applyBorder="1" applyAlignment="1">
      <alignment horizontal="center" vertical="center"/>
    </xf>
    <xf numFmtId="49" fontId="33" fillId="0" borderId="8" xfId="82" applyNumberFormat="1" applyFont="1" applyFill="1" applyBorder="1" applyAlignment="1">
      <alignment horizontal="center" vertical="center" wrapText="1"/>
    </xf>
    <xf numFmtId="0" fontId="33" fillId="0" borderId="8" xfId="82" applyFont="1" applyFill="1" applyBorder="1" applyAlignment="1">
      <alignment horizontal="right" vertical="center" wrapText="1"/>
    </xf>
    <xf numFmtId="2" fontId="33" fillId="0" borderId="7" xfId="82" applyNumberFormat="1" applyFont="1" applyFill="1" applyBorder="1" applyAlignment="1">
      <alignment horizontal="center" vertical="center"/>
    </xf>
    <xf numFmtId="2" fontId="33" fillId="0" borderId="9" xfId="82" applyNumberFormat="1" applyFont="1" applyFill="1" applyBorder="1" applyAlignment="1">
      <alignment horizontal="center" vertical="center"/>
    </xf>
    <xf numFmtId="0" fontId="33" fillId="30" borderId="8" xfId="82" applyFont="1" applyFill="1" applyBorder="1" applyAlignment="1">
      <alignment horizontal="center" vertical="center" wrapText="1"/>
    </xf>
    <xf numFmtId="0" fontId="35" fillId="0" borderId="0" xfId="82" applyFont="1" applyFill="1" applyBorder="1"/>
    <xf numFmtId="4" fontId="33" fillId="0" borderId="7" xfId="82" applyNumberFormat="1" applyFont="1" applyFill="1" applyBorder="1" applyAlignment="1">
      <alignment horizontal="center" vertical="center"/>
    </xf>
    <xf numFmtId="49" fontId="33" fillId="0" borderId="0" xfId="82" applyNumberFormat="1" applyFont="1" applyFill="1" applyBorder="1" applyAlignment="1">
      <alignment horizontal="center" vertical="center" wrapText="1"/>
    </xf>
    <xf numFmtId="0" fontId="33" fillId="0" borderId="0" xfId="82" applyFont="1" applyFill="1" applyBorder="1" applyAlignment="1">
      <alignment horizontal="justify" vertical="center" wrapText="1"/>
    </xf>
    <xf numFmtId="0" fontId="33" fillId="0" borderId="0" xfId="82" applyFont="1" applyFill="1" applyBorder="1" applyAlignment="1">
      <alignment horizontal="center" vertical="center" wrapText="1"/>
    </xf>
    <xf numFmtId="4" fontId="33" fillId="0" borderId="0" xfId="82" applyNumberFormat="1" applyFont="1" applyFill="1" applyBorder="1" applyAlignment="1">
      <alignment vertical="center"/>
    </xf>
    <xf numFmtId="164" fontId="33" fillId="0" borderId="0" xfId="55" applyNumberFormat="1" applyFont="1" applyFill="1" applyBorder="1" applyAlignment="1">
      <alignment vertical="center"/>
    </xf>
    <xf numFmtId="164" fontId="33" fillId="0" borderId="0" xfId="82" applyNumberFormat="1" applyFont="1" applyFill="1" applyBorder="1" applyAlignment="1">
      <alignment horizontal="center" vertical="center"/>
    </xf>
    <xf numFmtId="164" fontId="33" fillId="0" borderId="0" xfId="55" applyFont="1" applyFill="1" applyBorder="1" applyAlignment="1">
      <alignment horizontal="center" vertical="center" wrapText="1"/>
    </xf>
    <xf numFmtId="49" fontId="34" fillId="0" borderId="0" xfId="82" applyNumberFormat="1" applyFont="1" applyFill="1" applyBorder="1" applyAlignment="1">
      <alignment horizontal="center" vertical="center" wrapText="1"/>
    </xf>
    <xf numFmtId="0" fontId="34" fillId="0" borderId="0" xfId="82" applyFont="1" applyFill="1" applyBorder="1" applyAlignment="1">
      <alignment horizontal="justify" vertical="center" wrapText="1"/>
    </xf>
    <xf numFmtId="0" fontId="34" fillId="0" borderId="0" xfId="82" applyFont="1" applyFill="1" applyBorder="1" applyAlignment="1">
      <alignment horizontal="center" vertical="center" wrapText="1"/>
    </xf>
    <xf numFmtId="4" fontId="33" fillId="0" borderId="0" xfId="82" applyNumberFormat="1" applyFont="1" applyFill="1" applyBorder="1" applyAlignment="1">
      <alignment horizontal="center" vertical="center"/>
    </xf>
    <xf numFmtId="164" fontId="33" fillId="0" borderId="0" xfId="55" applyFont="1" applyFill="1" applyBorder="1" applyAlignment="1">
      <alignment vertical="center"/>
    </xf>
    <xf numFmtId="164" fontId="33" fillId="0" borderId="0" xfId="55" applyFont="1" applyFill="1" applyBorder="1" applyAlignment="1">
      <alignment horizontal="center" vertical="center"/>
    </xf>
    <xf numFmtId="0" fontId="34" fillId="0" borderId="0" xfId="82" applyFont="1" applyFill="1" applyBorder="1" applyAlignment="1">
      <alignment vertical="center" wrapText="1"/>
    </xf>
    <xf numFmtId="0" fontId="33" fillId="0" borderId="0" xfId="82" applyFont="1" applyFill="1" applyBorder="1" applyAlignment="1">
      <alignment vertical="center" wrapText="1"/>
    </xf>
    <xf numFmtId="0" fontId="33" fillId="0" borderId="0" xfId="82" applyFont="1" applyFill="1" applyBorder="1" applyAlignment="1">
      <alignment horizontal="left" vertical="center"/>
    </xf>
    <xf numFmtId="0" fontId="33" fillId="0" borderId="0" xfId="82" applyFont="1" applyFill="1" applyBorder="1" applyAlignment="1">
      <alignment horizontal="center" vertical="center"/>
    </xf>
    <xf numFmtId="167" fontId="33" fillId="0" borderId="0" xfId="84" applyFont="1" applyFill="1" applyBorder="1" applyAlignment="1">
      <alignment vertical="center"/>
    </xf>
    <xf numFmtId="0" fontId="33" fillId="0" borderId="0" xfId="82" applyFont="1" applyFill="1" applyAlignment="1">
      <alignment horizontal="left" vertical="center"/>
    </xf>
    <xf numFmtId="0" fontId="33" fillId="0" borderId="0" xfId="82" applyFont="1" applyFill="1" applyAlignment="1">
      <alignment vertical="center"/>
    </xf>
    <xf numFmtId="0" fontId="33" fillId="0" borderId="0" xfId="82" applyFont="1" applyFill="1" applyAlignment="1">
      <alignment horizontal="center" vertical="center"/>
    </xf>
    <xf numFmtId="164" fontId="33" fillId="0" borderId="0" xfId="55" applyFont="1" applyFill="1" applyAlignment="1">
      <alignment vertical="center"/>
    </xf>
    <xf numFmtId="167" fontId="33" fillId="0" borderId="0" xfId="84" applyFont="1" applyFill="1" applyAlignment="1">
      <alignment vertical="center"/>
    </xf>
    <xf numFmtId="0" fontId="33" fillId="0" borderId="0" xfId="82" applyFont="1" applyAlignment="1">
      <alignment horizontal="left" vertical="center"/>
    </xf>
    <xf numFmtId="0" fontId="33" fillId="0" borderId="0" xfId="82" applyFont="1" applyAlignment="1">
      <alignment vertical="center"/>
    </xf>
    <xf numFmtId="0" fontId="33" fillId="0" borderId="0" xfId="82" applyFont="1" applyAlignment="1">
      <alignment horizontal="center" vertical="center"/>
    </xf>
    <xf numFmtId="164" fontId="33" fillId="0" borderId="0" xfId="55" applyFont="1" applyAlignment="1">
      <alignment vertical="center"/>
    </xf>
    <xf numFmtId="167" fontId="33" fillId="0" borderId="0" xfId="84" applyFont="1" applyAlignment="1">
      <alignment vertical="center"/>
    </xf>
    <xf numFmtId="4" fontId="34" fillId="24" borderId="2" xfId="0" applyNumberFormat="1" applyFont="1" applyFill="1" applyBorder="1" applyAlignment="1">
      <alignment horizontal="center" vertical="top" wrapText="1"/>
    </xf>
    <xf numFmtId="4" fontId="33" fillId="24" borderId="0" xfId="0" applyNumberFormat="1" applyFont="1" applyFill="1" applyBorder="1" applyAlignment="1">
      <alignment horizontal="center" vertical="top" wrapText="1"/>
    </xf>
    <xf numFmtId="0" fontId="34" fillId="24" borderId="0" xfId="82" applyFont="1" applyFill="1" applyBorder="1" applyAlignment="1">
      <alignment horizontal="right" vertical="center"/>
    </xf>
    <xf numFmtId="49" fontId="33" fillId="24" borderId="0" xfId="55" applyNumberFormat="1" applyFont="1" applyFill="1" applyBorder="1" applyAlignment="1">
      <alignment horizontal="left" vertical="center"/>
    </xf>
    <xf numFmtId="167" fontId="34" fillId="24" borderId="0" xfId="84" applyFont="1" applyFill="1" applyBorder="1" applyAlignment="1">
      <alignment horizontal="right" vertical="center"/>
    </xf>
    <xf numFmtId="167" fontId="33" fillId="24" borderId="0" xfId="84" applyFont="1" applyFill="1" applyBorder="1" applyAlignment="1">
      <alignment horizontal="left" vertical="center"/>
    </xf>
    <xf numFmtId="49" fontId="33" fillId="24" borderId="0" xfId="84" applyNumberFormat="1" applyFont="1" applyFill="1" applyBorder="1" applyAlignment="1">
      <alignment vertical="center"/>
    </xf>
    <xf numFmtId="49" fontId="33" fillId="30" borderId="8" xfId="82" applyNumberFormat="1" applyFont="1" applyFill="1" applyBorder="1" applyAlignment="1">
      <alignment horizontal="justify" vertical="center"/>
    </xf>
    <xf numFmtId="0" fontId="33" fillId="30" borderId="8" xfId="82" applyNumberFormat="1" applyFont="1" applyFill="1" applyBorder="1" applyAlignment="1">
      <alignment horizontal="justify" vertical="center" wrapText="1"/>
    </xf>
    <xf numFmtId="0" fontId="33" fillId="30" borderId="7" xfId="82" applyFont="1" applyFill="1" applyBorder="1" applyAlignment="1">
      <alignment horizontal="center" vertical="center" wrapText="1"/>
    </xf>
    <xf numFmtId="4" fontId="33" fillId="0" borderId="9" xfId="82" applyNumberFormat="1" applyFont="1" applyFill="1" applyBorder="1" applyAlignment="1">
      <alignment horizontal="center" vertical="center"/>
    </xf>
    <xf numFmtId="4" fontId="33" fillId="26" borderId="8" xfId="82" applyNumberFormat="1" applyFont="1" applyFill="1" applyBorder="1" applyAlignment="1">
      <alignment horizontal="center" vertical="center"/>
    </xf>
    <xf numFmtId="4" fontId="34" fillId="30" borderId="8" xfId="82" applyNumberFormat="1" applyFont="1" applyFill="1" applyBorder="1" applyAlignment="1">
      <alignment vertical="center"/>
    </xf>
    <xf numFmtId="4" fontId="34" fillId="26" borderId="8" xfId="82" applyNumberFormat="1" applyFont="1" applyFill="1" applyBorder="1" applyAlignment="1">
      <alignment vertical="center"/>
    </xf>
    <xf numFmtId="4" fontId="34" fillId="30" borderId="9" xfId="82" applyNumberFormat="1" applyFont="1" applyFill="1" applyBorder="1" applyAlignment="1">
      <alignment horizontal="center" vertical="center"/>
    </xf>
    <xf numFmtId="4" fontId="34" fillId="0" borderId="8" xfId="82" applyNumberFormat="1" applyFont="1" applyFill="1" applyBorder="1" applyAlignment="1">
      <alignment horizontal="center" vertical="center"/>
    </xf>
    <xf numFmtId="4" fontId="34" fillId="0" borderId="9" xfId="82" applyNumberFormat="1" applyFont="1" applyFill="1" applyBorder="1" applyAlignment="1">
      <alignment horizontal="center" vertical="center"/>
    </xf>
    <xf numFmtId="2" fontId="33" fillId="24" borderId="9" xfId="82" applyNumberFormat="1" applyFont="1" applyFill="1" applyBorder="1" applyAlignment="1">
      <alignment horizontal="center" vertical="center"/>
    </xf>
    <xf numFmtId="4" fontId="34" fillId="24" borderId="8" xfId="82" applyNumberFormat="1" applyFont="1" applyFill="1" applyBorder="1" applyAlignment="1">
      <alignment horizontal="center" vertical="center"/>
    </xf>
    <xf numFmtId="0" fontId="31" fillId="24" borderId="0" xfId="0" applyFont="1" applyFill="1" applyBorder="1" applyAlignment="1">
      <alignment horizontal="left"/>
    </xf>
    <xf numFmtId="0" fontId="33" fillId="24" borderId="8" xfId="82" applyFont="1" applyFill="1" applyBorder="1" applyAlignment="1">
      <alignment horizontal="center" vertical="center" wrapText="1"/>
    </xf>
    <xf numFmtId="0" fontId="35" fillId="24" borderId="0" xfId="0" applyFont="1" applyFill="1" applyBorder="1"/>
    <xf numFmtId="0" fontId="33" fillId="0" borderId="8" xfId="82" applyFont="1" applyFill="1" applyBorder="1" applyAlignment="1">
      <alignment horizontal="center" vertical="center" wrapText="1"/>
    </xf>
    <xf numFmtId="0" fontId="45" fillId="0" borderId="0" xfId="87" applyNumberFormat="1" applyFont="1" applyBorder="1" applyAlignment="1"/>
    <xf numFmtId="0" fontId="46" fillId="0" borderId="0" xfId="87" applyNumberFormat="1" applyFont="1"/>
    <xf numFmtId="0" fontId="46" fillId="0" borderId="0" xfId="87" applyNumberFormat="1" applyFont="1" applyAlignment="1">
      <alignment horizontal="left"/>
    </xf>
    <xf numFmtId="0" fontId="47" fillId="0" borderId="0" xfId="87" applyNumberFormat="1" applyFont="1" applyBorder="1" applyAlignment="1">
      <alignment horizontal="center"/>
    </xf>
    <xf numFmtId="0" fontId="48" fillId="0" borderId="0" xfId="87" applyNumberFormat="1" applyFont="1"/>
    <xf numFmtId="0" fontId="48" fillId="0" borderId="0" xfId="87" applyNumberFormat="1" applyFont="1" applyAlignment="1">
      <alignment horizontal="left"/>
    </xf>
    <xf numFmtId="0" fontId="47" fillId="0" borderId="0" xfId="87" applyNumberFormat="1" applyFont="1"/>
    <xf numFmtId="0" fontId="47" fillId="0" borderId="0" xfId="87" applyNumberFormat="1" applyFont="1" applyFill="1"/>
    <xf numFmtId="0" fontId="6" fillId="0" borderId="0" xfId="86" applyFont="1" applyProtection="1"/>
    <xf numFmtId="0" fontId="49" fillId="0" borderId="0" xfId="86" applyFont="1" applyProtection="1"/>
    <xf numFmtId="0" fontId="6" fillId="0" borderId="0" xfId="86" applyFont="1" applyAlignment="1" applyProtection="1">
      <alignment horizontal="center"/>
    </xf>
    <xf numFmtId="0" fontId="48" fillId="0" borderId="0" xfId="86" applyFont="1" applyBorder="1" applyAlignment="1" applyProtection="1">
      <alignment horizontal="center" wrapText="1"/>
    </xf>
    <xf numFmtId="0" fontId="6" fillId="0" borderId="0" xfId="86" applyFont="1" applyBorder="1" applyProtection="1"/>
    <xf numFmtId="10" fontId="50" fillId="0" borderId="0" xfId="68" applyNumberFormat="1" applyFont="1" applyBorder="1" applyAlignment="1" applyProtection="1">
      <alignment horizontal="left" vertical="center" wrapText="1"/>
    </xf>
    <xf numFmtId="10" fontId="51" fillId="0" borderId="0" xfId="68" applyNumberFormat="1" applyFont="1" applyProtection="1"/>
    <xf numFmtId="0" fontId="44" fillId="24" borderId="0" xfId="0" applyFont="1" applyFill="1" applyBorder="1" applyAlignment="1"/>
    <xf numFmtId="0" fontId="32" fillId="24" borderId="0" xfId="0" applyFont="1" applyFill="1" applyBorder="1"/>
    <xf numFmtId="0" fontId="36" fillId="24" borderId="0" xfId="0" applyFont="1" applyFill="1" applyBorder="1" applyAlignment="1">
      <alignment horizontal="left" vertical="top"/>
    </xf>
    <xf numFmtId="0" fontId="33" fillId="26" borderId="2" xfId="82" applyFont="1" applyFill="1" applyBorder="1" applyAlignment="1">
      <alignment vertical="center"/>
    </xf>
    <xf numFmtId="2" fontId="33" fillId="0" borderId="4" xfId="82" applyNumberFormat="1" applyFont="1" applyFill="1" applyBorder="1" applyAlignment="1">
      <alignment horizontal="center" vertical="center"/>
    </xf>
    <xf numFmtId="0" fontId="33" fillId="26" borderId="18" xfId="82" applyFont="1" applyFill="1" applyBorder="1" applyAlignment="1">
      <alignment vertical="center"/>
    </xf>
    <xf numFmtId="2" fontId="33" fillId="0" borderId="5" xfId="82" applyNumberFormat="1" applyFont="1" applyFill="1" applyBorder="1" applyAlignment="1">
      <alignment horizontal="center" vertical="center"/>
    </xf>
    <xf numFmtId="0" fontId="57" fillId="0" borderId="0" xfId="89"/>
    <xf numFmtId="0" fontId="34" fillId="24" borderId="0" xfId="0" applyFont="1" applyFill="1" applyBorder="1" applyAlignment="1">
      <alignment horizontal="left" vertical="center"/>
    </xf>
    <xf numFmtId="4" fontId="34" fillId="0" borderId="8" xfId="1" applyNumberFormat="1" applyFont="1" applyFill="1" applyBorder="1" applyAlignment="1">
      <alignment horizontal="right" vertical="center"/>
    </xf>
    <xf numFmtId="0" fontId="58" fillId="26" borderId="8" xfId="90" applyFont="1" applyFill="1" applyBorder="1" applyAlignment="1">
      <alignment horizontal="center" vertical="center" wrapText="1"/>
    </xf>
    <xf numFmtId="0" fontId="58" fillId="26" borderId="8" xfId="90" applyFont="1" applyFill="1" applyBorder="1" applyAlignment="1">
      <alignment horizontal="justify" vertical="center" wrapText="1"/>
    </xf>
    <xf numFmtId="0" fontId="33" fillId="24" borderId="0" xfId="89" applyFont="1" applyFill="1" applyBorder="1" applyAlignment="1">
      <alignment horizontal="justify" wrapText="1"/>
    </xf>
    <xf numFmtId="0" fontId="33" fillId="24" borderId="0" xfId="89" applyFont="1" applyFill="1" applyBorder="1"/>
    <xf numFmtId="164" fontId="58" fillId="0" borderId="0" xfId="1" applyFont="1" applyBorder="1" applyAlignment="1">
      <alignment horizontal="center" vertical="center" wrapText="1"/>
    </xf>
    <xf numFmtId="0" fontId="33" fillId="0" borderId="0" xfId="89" applyFont="1" applyAlignment="1">
      <alignment horizontal="justify" wrapText="1"/>
    </xf>
    <xf numFmtId="0" fontId="33" fillId="0" borderId="0" xfId="89" applyFont="1"/>
    <xf numFmtId="0" fontId="59" fillId="0" borderId="0" xfId="87" applyNumberFormat="1" applyFont="1" applyBorder="1" applyAlignment="1">
      <alignment horizontal="right" vertical="center"/>
    </xf>
    <xf numFmtId="0" fontId="34" fillId="24" borderId="0" xfId="0" applyFont="1" applyFill="1" applyBorder="1" applyAlignment="1">
      <alignment horizontal="right" vertical="center"/>
    </xf>
    <xf numFmtId="164" fontId="33" fillId="24" borderId="0" xfId="1" applyFont="1" applyFill="1" applyBorder="1" applyAlignment="1">
      <alignment horizontal="right" vertical="center"/>
    </xf>
    <xf numFmtId="164" fontId="33" fillId="24" borderId="0" xfId="1" applyFont="1" applyFill="1" applyBorder="1" applyAlignment="1">
      <alignment horizontal="left" vertical="center"/>
    </xf>
    <xf numFmtId="10" fontId="34" fillId="24" borderId="0" xfId="81" applyNumberFormat="1" applyFont="1" applyFill="1" applyBorder="1" applyAlignment="1">
      <alignment horizontal="right" vertical="center"/>
    </xf>
    <xf numFmtId="49" fontId="33" fillId="24" borderId="0" xfId="81" applyNumberFormat="1" applyFont="1" applyFill="1" applyBorder="1" applyAlignment="1">
      <alignment horizontal="right" vertical="center"/>
    </xf>
    <xf numFmtId="49" fontId="34" fillId="24" borderId="0" xfId="1" applyNumberFormat="1" applyFont="1" applyFill="1" applyBorder="1" applyAlignment="1">
      <alignment horizontal="right" vertical="center"/>
    </xf>
    <xf numFmtId="0" fontId="34" fillId="25" borderId="8" xfId="0" applyFont="1" applyFill="1" applyBorder="1" applyAlignment="1">
      <alignment horizontal="center" vertical="center"/>
    </xf>
    <xf numFmtId="49" fontId="34" fillId="25" borderId="8" xfId="0" applyNumberFormat="1" applyFont="1" applyFill="1" applyBorder="1" applyAlignment="1">
      <alignment horizontal="center" vertical="center"/>
    </xf>
    <xf numFmtId="0" fontId="34" fillId="25" borderId="8" xfId="0" applyFont="1" applyFill="1" applyBorder="1" applyAlignment="1">
      <alignment horizontal="justify" vertical="center" wrapText="1"/>
    </xf>
    <xf numFmtId="4" fontId="34" fillId="25" borderId="8" xfId="0" applyNumberFormat="1" applyFont="1" applyFill="1" applyBorder="1" applyAlignment="1">
      <alignment horizontal="center" vertical="center"/>
    </xf>
    <xf numFmtId="4" fontId="33" fillId="25" borderId="8" xfId="1" applyNumberFormat="1" applyFont="1" applyFill="1" applyBorder="1" applyAlignment="1">
      <alignment horizontal="center" vertical="center"/>
    </xf>
    <xf numFmtId="4" fontId="34" fillId="25" borderId="8" xfId="1" applyNumberFormat="1" applyFont="1" applyFill="1" applyBorder="1" applyAlignment="1">
      <alignment horizontal="center" vertical="center"/>
    </xf>
    <xf numFmtId="0" fontId="33" fillId="0" borderId="8" xfId="0" applyFont="1" applyFill="1" applyBorder="1" applyAlignment="1">
      <alignment horizontal="center" vertical="center"/>
    </xf>
    <xf numFmtId="49" fontId="33" fillId="0" borderId="8" xfId="0" applyNumberFormat="1" applyFont="1" applyFill="1" applyBorder="1" applyAlignment="1">
      <alignment horizontal="center" vertical="center"/>
    </xf>
    <xf numFmtId="4" fontId="33" fillId="0" borderId="8" xfId="0" applyNumberFormat="1" applyFont="1" applyFill="1" applyBorder="1" applyAlignment="1">
      <alignment horizontal="right" vertical="center"/>
    </xf>
    <xf numFmtId="4" fontId="33" fillId="0" borderId="8" xfId="1" applyNumberFormat="1" applyFont="1" applyFill="1" applyBorder="1" applyAlignment="1">
      <alignment horizontal="right" vertical="center"/>
    </xf>
    <xf numFmtId="0" fontId="34" fillId="0" borderId="8" xfId="0" applyFont="1" applyFill="1" applyBorder="1" applyAlignment="1">
      <alignment horizontal="right" vertical="center" wrapText="1"/>
    </xf>
    <xf numFmtId="0" fontId="34" fillId="0" borderId="8" xfId="0" applyFont="1" applyFill="1" applyBorder="1" applyAlignment="1">
      <alignment horizontal="center" vertical="center"/>
    </xf>
    <xf numFmtId="4" fontId="34" fillId="0" borderId="8" xfId="0" applyNumberFormat="1" applyFont="1" applyFill="1" applyBorder="1" applyAlignment="1">
      <alignment horizontal="right" vertical="center"/>
    </xf>
    <xf numFmtId="4" fontId="34" fillId="25" borderId="8" xfId="0" applyNumberFormat="1" applyFont="1" applyFill="1" applyBorder="1" applyAlignment="1">
      <alignment horizontal="right" vertical="center"/>
    </xf>
    <xf numFmtId="4" fontId="33" fillId="25" borderId="8" xfId="1" applyNumberFormat="1" applyFont="1" applyFill="1" applyBorder="1" applyAlignment="1">
      <alignment horizontal="right" vertical="center"/>
    </xf>
    <xf numFmtId="4" fontId="34" fillId="25" borderId="8" xfId="1" applyNumberFormat="1" applyFont="1" applyFill="1" applyBorder="1" applyAlignment="1">
      <alignment horizontal="right" vertical="center"/>
    </xf>
    <xf numFmtId="0" fontId="33" fillId="0" borderId="8" xfId="0" applyFont="1" applyFill="1" applyBorder="1" applyAlignment="1">
      <alignment horizontal="justify" vertical="center" wrapText="1"/>
    </xf>
    <xf numFmtId="4" fontId="33" fillId="24" borderId="8" xfId="1" applyNumberFormat="1" applyFont="1" applyFill="1" applyBorder="1" applyAlignment="1">
      <alignment horizontal="right" vertical="center"/>
    </xf>
    <xf numFmtId="4" fontId="33" fillId="0" borderId="8" xfId="0" applyNumberFormat="1" applyFont="1" applyFill="1" applyBorder="1" applyAlignment="1">
      <alignment horizontal="center" vertical="center"/>
    </xf>
    <xf numFmtId="4" fontId="34" fillId="0" borderId="8" xfId="0" applyNumberFormat="1" applyFont="1" applyFill="1" applyBorder="1" applyAlignment="1">
      <alignment horizontal="center" vertical="center"/>
    </xf>
    <xf numFmtId="4" fontId="6" fillId="24" borderId="0" xfId="0" applyNumberFormat="1" applyFont="1" applyFill="1" applyAlignment="1">
      <alignment horizontal="left" vertical="center"/>
    </xf>
    <xf numFmtId="0" fontId="33" fillId="0" borderId="0" xfId="82" applyFont="1" applyFill="1" applyBorder="1" applyAlignment="1">
      <alignment horizontal="right" vertical="center" wrapText="1"/>
    </xf>
    <xf numFmtId="2" fontId="33" fillId="0" borderId="0" xfId="82" applyNumberFormat="1" applyFont="1" applyFill="1" applyBorder="1" applyAlignment="1">
      <alignment horizontal="center" vertical="center"/>
    </xf>
    <xf numFmtId="4" fontId="34" fillId="0" borderId="0" xfId="82" applyNumberFormat="1" applyFont="1" applyFill="1" applyBorder="1" applyAlignment="1">
      <alignment horizontal="center" vertical="center"/>
    </xf>
    <xf numFmtId="0" fontId="34" fillId="0" borderId="8" xfId="82" applyFont="1" applyFill="1" applyBorder="1" applyAlignment="1">
      <alignment horizontal="right" vertical="center" wrapText="1"/>
    </xf>
    <xf numFmtId="2" fontId="34" fillId="0" borderId="9" xfId="82" applyNumberFormat="1" applyFont="1" applyFill="1" applyBorder="1" applyAlignment="1">
      <alignment horizontal="center" vertical="center"/>
    </xf>
    <xf numFmtId="0" fontId="58" fillId="0" borderId="0" xfId="87" applyNumberFormat="1" applyFont="1" applyBorder="1" applyAlignment="1">
      <alignment horizontal="center"/>
    </xf>
    <xf numFmtId="10" fontId="58" fillId="31" borderId="0" xfId="87" applyNumberFormat="1" applyFont="1" applyFill="1" applyBorder="1" applyAlignment="1" applyProtection="1">
      <alignment horizontal="left" vertical="center" wrapText="1"/>
      <protection locked="0"/>
    </xf>
    <xf numFmtId="0" fontId="58" fillId="0" borderId="0" xfId="87" applyNumberFormat="1" applyFont="1" applyAlignment="1">
      <alignment horizontal="center" wrapText="1"/>
    </xf>
    <xf numFmtId="0" fontId="58" fillId="0" borderId="0" xfId="87" applyNumberFormat="1" applyFont="1" applyAlignment="1">
      <alignment wrapText="1"/>
    </xf>
    <xf numFmtId="0" fontId="59" fillId="0" borderId="0" xfId="87" applyNumberFormat="1" applyFont="1" applyFill="1" applyBorder="1" applyAlignment="1">
      <alignment horizontal="right" vertical="center"/>
    </xf>
    <xf numFmtId="10" fontId="58" fillId="0" borderId="0" xfId="87" applyNumberFormat="1" applyFont="1" applyFill="1" applyBorder="1" applyAlignment="1">
      <alignment horizontal="left" vertical="center"/>
    </xf>
    <xf numFmtId="0" fontId="58" fillId="0" borderId="0" xfId="87" applyNumberFormat="1" applyFont="1" applyFill="1" applyAlignment="1">
      <alignment horizontal="center"/>
    </xf>
    <xf numFmtId="0" fontId="58" fillId="0" borderId="0" xfId="87" applyNumberFormat="1" applyFont="1" applyFill="1"/>
    <xf numFmtId="0" fontId="33" fillId="0" borderId="0" xfId="86" applyFont="1" applyProtection="1"/>
    <xf numFmtId="0" fontId="34" fillId="0" borderId="0" xfId="86" applyFont="1" applyAlignment="1" applyProtection="1"/>
    <xf numFmtId="0" fontId="34" fillId="0" borderId="0" xfId="86" applyFont="1" applyAlignment="1" applyProtection="1">
      <alignment horizontal="center"/>
    </xf>
    <xf numFmtId="0" fontId="34" fillId="0" borderId="0" xfId="86" applyFont="1" applyFill="1" applyAlignment="1" applyProtection="1"/>
    <xf numFmtId="0" fontId="33" fillId="31" borderId="0" xfId="86" applyFont="1" applyFill="1" applyAlignment="1" applyProtection="1">
      <protection locked="0"/>
    </xf>
    <xf numFmtId="0" fontId="33" fillId="0" borderId="0" xfId="86" applyFont="1" applyAlignment="1" applyProtection="1"/>
    <xf numFmtId="0" fontId="33" fillId="0" borderId="0" xfId="86" applyFont="1" applyAlignment="1" applyProtection="1">
      <alignment horizontal="center"/>
    </xf>
    <xf numFmtId="0" fontId="33" fillId="0" borderId="0" xfId="86" applyFont="1" applyFill="1" applyAlignment="1" applyProtection="1">
      <alignment horizontal="center"/>
    </xf>
    <xf numFmtId="0" fontId="34" fillId="0" borderId="0" xfId="86" applyFont="1" applyFill="1" applyAlignment="1" applyProtection="1">
      <alignment horizontal="center"/>
    </xf>
    <xf numFmtId="0" fontId="33" fillId="0" borderId="0" xfId="86" applyFont="1" applyAlignment="1" applyProtection="1">
      <alignment horizontal="right"/>
    </xf>
    <xf numFmtId="0" fontId="33" fillId="0" borderId="20" xfId="86" applyFont="1" applyBorder="1" applyAlignment="1" applyProtection="1">
      <alignment horizontal="justify" vertical="top" wrapText="1"/>
    </xf>
    <xf numFmtId="2" fontId="33" fillId="31" borderId="21" xfId="86" applyNumberFormat="1" applyFont="1" applyFill="1" applyBorder="1" applyAlignment="1" applyProtection="1">
      <alignment horizontal="center" vertical="top" wrapText="1"/>
      <protection locked="0"/>
    </xf>
    <xf numFmtId="0" fontId="33" fillId="0" borderId="9" xfId="86" applyFont="1" applyFill="1" applyBorder="1" applyAlignment="1" applyProtection="1">
      <alignment horizontal="center" vertical="top" wrapText="1"/>
    </xf>
    <xf numFmtId="0" fontId="33" fillId="0" borderId="0" xfId="86" applyFont="1" applyBorder="1" applyProtection="1"/>
    <xf numFmtId="0" fontId="60" fillId="0" borderId="7" xfId="86" applyFont="1" applyBorder="1" applyAlignment="1" applyProtection="1">
      <alignment horizontal="justify" vertical="top" wrapText="1"/>
    </xf>
    <xf numFmtId="2" fontId="33" fillId="0" borderId="7" xfId="86" applyNumberFormat="1" applyFont="1" applyFill="1" applyBorder="1" applyAlignment="1" applyProtection="1">
      <alignment horizontal="center" vertical="top" wrapText="1"/>
    </xf>
    <xf numFmtId="0" fontId="33" fillId="0" borderId="7" xfId="86" applyFont="1" applyFill="1" applyBorder="1" applyAlignment="1" applyProtection="1">
      <alignment horizontal="center" vertical="top" wrapText="1"/>
    </xf>
    <xf numFmtId="0" fontId="33" fillId="0" borderId="0" xfId="86" applyFont="1" applyBorder="1" applyAlignment="1" applyProtection="1">
      <alignment horizontal="center"/>
    </xf>
    <xf numFmtId="0" fontId="33" fillId="0" borderId="0" xfId="86" applyFont="1" applyFill="1" applyBorder="1" applyAlignment="1" applyProtection="1">
      <alignment horizontal="center"/>
    </xf>
    <xf numFmtId="0" fontId="34" fillId="0" borderId="0" xfId="86" applyFont="1" applyBorder="1" applyAlignment="1" applyProtection="1">
      <alignment horizontal="center"/>
    </xf>
    <xf numFmtId="0" fontId="34" fillId="0" borderId="0" xfId="86" applyFont="1" applyFill="1" applyBorder="1" applyAlignment="1" applyProtection="1">
      <alignment horizontal="center"/>
    </xf>
    <xf numFmtId="0" fontId="34" fillId="0" borderId="20" xfId="86" applyFont="1" applyBorder="1" applyAlignment="1" applyProtection="1">
      <alignment horizontal="justify"/>
    </xf>
    <xf numFmtId="2" fontId="34" fillId="0" borderId="21" xfId="86" applyNumberFormat="1" applyFont="1" applyBorder="1" applyAlignment="1" applyProtection="1">
      <alignment horizontal="center"/>
    </xf>
    <xf numFmtId="0" fontId="34" fillId="0" borderId="9" xfId="86" applyFont="1" applyFill="1" applyBorder="1" applyAlignment="1" applyProtection="1">
      <alignment horizontal="center" vertical="top" wrapText="1"/>
    </xf>
    <xf numFmtId="0" fontId="60" fillId="0" borderId="20" xfId="86" applyFont="1" applyBorder="1" applyAlignment="1" applyProtection="1">
      <alignment horizontal="left" vertical="top" wrapText="1" indent="2"/>
    </xf>
    <xf numFmtId="2" fontId="33" fillId="0" borderId="21" xfId="86" applyNumberFormat="1" applyFont="1" applyFill="1" applyBorder="1" applyAlignment="1" applyProtection="1">
      <alignment horizontal="center" vertical="top" wrapText="1"/>
    </xf>
    <xf numFmtId="2" fontId="33" fillId="0" borderId="9" xfId="86" applyNumberFormat="1" applyFont="1" applyFill="1" applyBorder="1" applyAlignment="1" applyProtection="1">
      <alignment horizontal="center" vertical="top" wrapText="1"/>
    </xf>
    <xf numFmtId="170" fontId="59" fillId="0" borderId="0" xfId="68" applyNumberFormat="1" applyFont="1" applyAlignment="1" applyProtection="1">
      <alignment horizontal="center"/>
    </xf>
    <xf numFmtId="0" fontId="33" fillId="0" borderId="0" xfId="86" applyFont="1" applyFill="1" applyProtection="1"/>
    <xf numFmtId="0" fontId="34" fillId="0" borderId="0" xfId="87" applyFont="1" applyFill="1" applyBorder="1" applyAlignment="1">
      <alignment vertical="center"/>
    </xf>
    <xf numFmtId="0" fontId="33" fillId="0" borderId="0" xfId="87" applyFont="1" applyFill="1" applyBorder="1" applyAlignment="1">
      <alignment vertical="center"/>
    </xf>
    <xf numFmtId="0" fontId="34" fillId="31" borderId="2" xfId="87" applyFont="1" applyFill="1" applyBorder="1" applyAlignment="1" applyProtection="1">
      <alignment horizontal="center" vertical="center"/>
      <protection locked="0"/>
    </xf>
    <xf numFmtId="0" fontId="33" fillId="31" borderId="0" xfId="87" applyFont="1" applyFill="1" applyBorder="1" applyAlignment="1" applyProtection="1">
      <alignment horizontal="center" vertical="center"/>
      <protection locked="0"/>
    </xf>
    <xf numFmtId="49" fontId="37" fillId="24" borderId="8" xfId="82" applyNumberFormat="1" applyFont="1" applyFill="1" applyBorder="1" applyAlignment="1">
      <alignment horizontal="center" vertical="center" wrapText="1"/>
    </xf>
    <xf numFmtId="0" fontId="37" fillId="24" borderId="8" xfId="82" applyFont="1" applyFill="1" applyBorder="1" applyAlignment="1">
      <alignment horizontal="center" vertical="center" wrapText="1"/>
    </xf>
    <xf numFmtId="2" fontId="37" fillId="24" borderId="7" xfId="82" applyNumberFormat="1" applyFont="1" applyFill="1" applyBorder="1" applyAlignment="1">
      <alignment horizontal="center" vertical="center"/>
    </xf>
    <xf numFmtId="2" fontId="37" fillId="24" borderId="9" xfId="82" applyNumberFormat="1" applyFont="1" applyFill="1" applyBorder="1" applyAlignment="1">
      <alignment horizontal="center" vertical="center"/>
    </xf>
    <xf numFmtId="4" fontId="38" fillId="24" borderId="8" xfId="82" applyNumberFormat="1" applyFont="1" applyFill="1" applyBorder="1" applyAlignment="1">
      <alignment horizontal="center" vertical="center"/>
    </xf>
    <xf numFmtId="0" fontId="33" fillId="0" borderId="8" xfId="0" applyNumberFormat="1" applyFont="1" applyFill="1" applyBorder="1" applyAlignment="1">
      <alignment horizontal="justify" vertical="center" wrapText="1"/>
    </xf>
    <xf numFmtId="0" fontId="44" fillId="24" borderId="0" xfId="0" applyFont="1" applyFill="1" applyBorder="1" applyAlignment="1">
      <alignment horizontal="left"/>
    </xf>
    <xf numFmtId="0" fontId="43" fillId="26" borderId="8" xfId="82" applyFont="1" applyFill="1" applyBorder="1" applyAlignment="1">
      <alignment horizontal="center" vertical="center"/>
    </xf>
    <xf numFmtId="0" fontId="59" fillId="0" borderId="8" xfId="90" applyFont="1" applyFill="1" applyBorder="1" applyAlignment="1">
      <alignment horizontal="center" vertical="center" wrapText="1"/>
    </xf>
    <xf numFmtId="0" fontId="59" fillId="0" borderId="0" xfId="90" applyFont="1" applyFill="1" applyBorder="1" applyAlignment="1">
      <alignment horizontal="center" vertical="center" wrapText="1"/>
    </xf>
    <xf numFmtId="164" fontId="59" fillId="0" borderId="0" xfId="1" applyFont="1" applyFill="1" applyBorder="1" applyAlignment="1">
      <alignment horizontal="center" vertical="center" wrapText="1"/>
    </xf>
    <xf numFmtId="0" fontId="33" fillId="0" borderId="0" xfId="89" applyFont="1" applyFill="1" applyBorder="1" applyAlignment="1">
      <alignment horizontal="justify" wrapText="1"/>
    </xf>
    <xf numFmtId="0" fontId="33" fillId="0" borderId="0" xfId="89" applyFont="1" applyFill="1" applyBorder="1"/>
    <xf numFmtId="0" fontId="59" fillId="0" borderId="0" xfId="90" applyFont="1" applyBorder="1" applyAlignment="1">
      <alignment horizontal="center" vertical="center" wrapText="1"/>
    </xf>
    <xf numFmtId="164" fontId="58" fillId="0" borderId="8" xfId="1" applyFont="1" applyFill="1" applyBorder="1" applyAlignment="1">
      <alignment horizontal="center" vertical="center" wrapText="1"/>
    </xf>
    <xf numFmtId="164" fontId="58" fillId="0" borderId="0" xfId="1" applyFont="1" applyFill="1" applyBorder="1" applyAlignment="1">
      <alignment horizontal="center" vertical="center" wrapText="1"/>
    </xf>
    <xf numFmtId="43" fontId="57" fillId="0" borderId="0" xfId="89" applyNumberFormat="1"/>
    <xf numFmtId="164" fontId="57" fillId="0" borderId="0" xfId="89" applyNumberFormat="1"/>
    <xf numFmtId="0" fontId="44" fillId="24" borderId="0" xfId="0" applyFont="1" applyFill="1" applyBorder="1"/>
    <xf numFmtId="0" fontId="62" fillId="24" borderId="0" xfId="0" applyFont="1" applyFill="1" applyBorder="1" applyAlignment="1"/>
    <xf numFmtId="49" fontId="33" fillId="24" borderId="0" xfId="1" applyNumberFormat="1" applyFont="1" applyFill="1" applyBorder="1" applyAlignment="1">
      <alignment horizontal="right" vertical="center"/>
    </xf>
    <xf numFmtId="10" fontId="33" fillId="24" borderId="0" xfId="81" applyNumberFormat="1" applyFont="1" applyFill="1" applyBorder="1" applyAlignment="1">
      <alignment horizontal="right" vertical="center"/>
    </xf>
    <xf numFmtId="0" fontId="42" fillId="0" borderId="0" xfId="82" applyFont="1" applyFill="1" applyBorder="1" applyAlignment="1">
      <alignment horizontal="center" vertical="center"/>
    </xf>
    <xf numFmtId="0" fontId="33" fillId="30" borderId="8" xfId="82" applyNumberFormat="1" applyFont="1" applyFill="1" applyBorder="1" applyAlignment="1" applyProtection="1">
      <alignment horizontal="center" vertical="center" wrapText="1"/>
      <protection locked="0"/>
    </xf>
    <xf numFmtId="0" fontId="33" fillId="30" borderId="8" xfId="82" applyNumberFormat="1" applyFont="1" applyFill="1" applyBorder="1" applyAlignment="1" applyProtection="1">
      <alignment horizontal="justify" vertical="center" wrapText="1"/>
      <protection locked="0"/>
    </xf>
    <xf numFmtId="49" fontId="33" fillId="30" borderId="8" xfId="82" applyNumberFormat="1" applyFont="1" applyFill="1" applyBorder="1" applyAlignment="1">
      <alignment horizontal="center" vertical="center"/>
    </xf>
    <xf numFmtId="2" fontId="33" fillId="0" borderId="7" xfId="82" applyNumberFormat="1" applyFont="1" applyBorder="1" applyAlignment="1">
      <alignment horizontal="center" vertical="center"/>
    </xf>
    <xf numFmtId="4" fontId="33" fillId="0" borderId="9" xfId="82" applyNumberFormat="1" applyFont="1" applyBorder="1" applyAlignment="1">
      <alignment horizontal="center" vertical="center"/>
    </xf>
    <xf numFmtId="0" fontId="33" fillId="0" borderId="8" xfId="82" applyFont="1" applyBorder="1" applyAlignment="1">
      <alignment horizontal="right" vertical="center" wrapText="1"/>
    </xf>
    <xf numFmtId="4" fontId="33" fillId="0" borderId="7" xfId="82" applyNumberFormat="1" applyFont="1" applyBorder="1" applyAlignment="1">
      <alignment horizontal="center" vertical="center"/>
    </xf>
    <xf numFmtId="0" fontId="33" fillId="24" borderId="0" xfId="89" applyFont="1" applyFill="1" applyBorder="1" applyAlignment="1">
      <alignment horizontal="left"/>
    </xf>
    <xf numFmtId="0" fontId="64" fillId="0" borderId="0" xfId="89" applyFont="1"/>
    <xf numFmtId="0" fontId="34" fillId="24" borderId="0" xfId="89" applyFont="1" applyFill="1" applyBorder="1"/>
    <xf numFmtId="0" fontId="59" fillId="0" borderId="19" xfId="90" applyFont="1" applyFill="1" applyBorder="1" applyAlignment="1">
      <alignment horizontal="center" vertical="center" wrapText="1"/>
    </xf>
    <xf numFmtId="49" fontId="33" fillId="24" borderId="0" xfId="89" applyNumberFormat="1" applyFont="1" applyFill="1" applyBorder="1" applyAlignment="1">
      <alignment horizontal="center"/>
    </xf>
    <xf numFmtId="49" fontId="33" fillId="24" borderId="0" xfId="89" applyNumberFormat="1" applyFont="1" applyFill="1" applyBorder="1" applyAlignment="1">
      <alignment horizontal="center" wrapText="1"/>
    </xf>
    <xf numFmtId="164" fontId="59" fillId="0" borderId="0" xfId="1" applyFont="1" applyBorder="1" applyAlignment="1">
      <alignment horizontal="left" vertical="center" wrapText="1"/>
    </xf>
    <xf numFmtId="3" fontId="59" fillId="0" borderId="0" xfId="90" applyNumberFormat="1" applyFont="1" applyBorder="1" applyAlignment="1">
      <alignment horizontal="right" vertical="center" wrapText="1"/>
    </xf>
    <xf numFmtId="4" fontId="59" fillId="0" borderId="0" xfId="90" applyNumberFormat="1" applyFont="1" applyBorder="1" applyAlignment="1">
      <alignment horizontal="right" vertical="center" wrapText="1"/>
    </xf>
    <xf numFmtId="0" fontId="34" fillId="0" borderId="0" xfId="89" applyFont="1" applyFill="1" applyBorder="1"/>
    <xf numFmtId="0" fontId="33" fillId="0" borderId="0" xfId="89" applyFont="1" applyFill="1" applyBorder="1" applyAlignment="1">
      <alignment horizontal="center" wrapText="1"/>
    </xf>
    <xf numFmtId="0" fontId="33" fillId="0" borderId="0" xfId="89" applyFont="1" applyFill="1" applyBorder="1" applyAlignment="1"/>
    <xf numFmtId="0" fontId="33" fillId="0" borderId="0" xfId="89" applyFont="1" applyFill="1" applyBorder="1" applyAlignment="1">
      <alignment wrapText="1"/>
    </xf>
    <xf numFmtId="0" fontId="33" fillId="0" borderId="0" xfId="89" applyFont="1" applyFill="1" applyBorder="1" applyAlignment="1">
      <alignment horizontal="center"/>
    </xf>
    <xf numFmtId="164" fontId="59" fillId="0" borderId="0" xfId="1" applyFont="1" applyFill="1" applyBorder="1" applyAlignment="1">
      <alignment horizontal="left" vertical="center" wrapText="1"/>
    </xf>
    <xf numFmtId="0" fontId="59" fillId="0" borderId="0" xfId="90" applyFont="1" applyFill="1" applyBorder="1" applyAlignment="1">
      <alignment horizontal="right" vertical="center" wrapText="1"/>
    </xf>
    <xf numFmtId="49" fontId="33" fillId="0" borderId="0" xfId="89" applyNumberFormat="1" applyFont="1" applyFill="1" applyBorder="1" applyAlignment="1">
      <alignment horizontal="center"/>
    </xf>
    <xf numFmtId="0" fontId="33" fillId="0" borderId="0" xfId="89" applyFont="1" applyFill="1" applyBorder="1" applyAlignment="1">
      <alignment horizontal="left"/>
    </xf>
    <xf numFmtId="49" fontId="33" fillId="0" borderId="0" xfId="89" applyNumberFormat="1" applyFont="1" applyFill="1" applyBorder="1" applyAlignment="1">
      <alignment horizontal="center" wrapText="1"/>
    </xf>
    <xf numFmtId="3" fontId="59" fillId="0" borderId="0" xfId="90" applyNumberFormat="1" applyFont="1" applyFill="1" applyBorder="1" applyAlignment="1">
      <alignment horizontal="right" vertical="center" wrapText="1"/>
    </xf>
    <xf numFmtId="4" fontId="59" fillId="0" borderId="0" xfId="90" applyNumberFormat="1" applyFont="1" applyFill="1" applyBorder="1" applyAlignment="1">
      <alignment horizontal="right" vertical="center" wrapText="1"/>
    </xf>
    <xf numFmtId="2" fontId="59" fillId="0" borderId="0" xfId="90" applyNumberFormat="1" applyFont="1" applyFill="1" applyBorder="1" applyAlignment="1">
      <alignment horizontal="right" vertical="center" wrapText="1"/>
    </xf>
    <xf numFmtId="3" fontId="33" fillId="0" borderId="0" xfId="89" applyNumberFormat="1" applyFont="1" applyFill="1" applyBorder="1" applyAlignment="1">
      <alignment wrapText="1"/>
    </xf>
    <xf numFmtId="164" fontId="58" fillId="0" borderId="19" xfId="1" applyFont="1" applyFill="1" applyBorder="1" applyAlignment="1">
      <alignment horizontal="center" vertical="center" wrapText="1"/>
    </xf>
    <xf numFmtId="1" fontId="59" fillId="0" borderId="0" xfId="90" applyNumberFormat="1" applyFont="1" applyFill="1" applyBorder="1" applyAlignment="1">
      <alignment horizontal="right" vertical="center" wrapText="1"/>
    </xf>
    <xf numFmtId="0" fontId="33" fillId="0" borderId="0" xfId="89" applyFont="1" applyFill="1" applyAlignment="1">
      <alignment horizontal="justify" wrapText="1"/>
    </xf>
    <xf numFmtId="0" fontId="33" fillId="0" borderId="0" xfId="89" applyFont="1" applyFill="1"/>
    <xf numFmtId="164" fontId="34" fillId="0" borderId="0" xfId="89" applyNumberFormat="1" applyFont="1" applyFill="1" applyBorder="1"/>
    <xf numFmtId="169" fontId="59" fillId="0" borderId="0" xfId="90" applyNumberFormat="1" applyFont="1" applyFill="1" applyBorder="1" applyAlignment="1">
      <alignment horizontal="right" vertical="center" wrapText="1"/>
    </xf>
    <xf numFmtId="169" fontId="57" fillId="0" borderId="0" xfId="89" applyNumberFormat="1"/>
    <xf numFmtId="0" fontId="33" fillId="0" borderId="19" xfId="89" applyFont="1" applyFill="1" applyBorder="1"/>
    <xf numFmtId="164" fontId="34" fillId="0" borderId="19" xfId="89" applyNumberFormat="1" applyFont="1" applyFill="1" applyBorder="1"/>
    <xf numFmtId="0" fontId="34" fillId="0" borderId="2" xfId="89" applyFont="1" applyFill="1" applyBorder="1" applyAlignment="1">
      <alignment horizontal="center" vertical="top" wrapText="1"/>
    </xf>
    <xf numFmtId="0" fontId="33" fillId="0" borderId="0" xfId="89" applyFont="1" applyFill="1" applyAlignment="1">
      <alignment horizontal="center" vertical="top" wrapText="1"/>
    </xf>
    <xf numFmtId="173" fontId="57" fillId="0" borderId="0" xfId="89" applyNumberFormat="1"/>
    <xf numFmtId="174" fontId="57" fillId="0" borderId="0" xfId="89" applyNumberFormat="1"/>
    <xf numFmtId="0" fontId="33" fillId="0" borderId="0" xfId="89" applyFont="1" applyFill="1" applyBorder="1" applyAlignment="1">
      <alignment horizontal="left"/>
    </xf>
    <xf numFmtId="0" fontId="59" fillId="0" borderId="8" xfId="90" applyFont="1" applyFill="1" applyBorder="1" applyAlignment="1">
      <alignment horizontal="justify" vertical="center" wrapText="1"/>
    </xf>
    <xf numFmtId="164" fontId="59" fillId="0" borderId="8" xfId="1" applyFont="1" applyFill="1" applyBorder="1" applyAlignment="1">
      <alignment horizontal="center" vertical="center" wrapText="1"/>
    </xf>
    <xf numFmtId="164" fontId="33" fillId="0" borderId="8" xfId="1" applyFont="1" applyFill="1" applyBorder="1" applyAlignment="1">
      <alignment horizontal="center" vertical="center" wrapText="1"/>
    </xf>
    <xf numFmtId="164" fontId="59" fillId="0" borderId="8" xfId="1" applyNumberFormat="1" applyFont="1" applyFill="1" applyBorder="1" applyAlignment="1">
      <alignment horizontal="center" vertical="center" wrapText="1"/>
    </xf>
    <xf numFmtId="0" fontId="33" fillId="0" borderId="8" xfId="90" applyFont="1" applyFill="1" applyBorder="1" applyAlignment="1">
      <alignment horizontal="center" vertical="center" wrapText="1"/>
    </xf>
    <xf numFmtId="0" fontId="33" fillId="0" borderId="8" xfId="90" applyFont="1" applyFill="1" applyBorder="1" applyAlignment="1">
      <alignment horizontal="justify" vertical="center" wrapText="1"/>
    </xf>
    <xf numFmtId="164" fontId="33" fillId="0" borderId="8" xfId="1" applyNumberFormat="1" applyFont="1" applyFill="1" applyBorder="1" applyAlignment="1">
      <alignment horizontal="center" vertical="center" wrapText="1"/>
    </xf>
    <xf numFmtId="171" fontId="33" fillId="0" borderId="8" xfId="1" applyNumberFormat="1" applyFont="1" applyFill="1" applyBorder="1" applyAlignment="1">
      <alignment horizontal="center" vertical="center" wrapText="1"/>
    </xf>
    <xf numFmtId="172" fontId="59" fillId="0" borderId="8" xfId="1" applyNumberFormat="1" applyFont="1" applyFill="1" applyBorder="1" applyAlignment="1">
      <alignment horizontal="center" vertical="center" wrapText="1"/>
    </xf>
    <xf numFmtId="171" fontId="59" fillId="0" borderId="8" xfId="1" applyNumberFormat="1" applyFont="1" applyFill="1" applyBorder="1" applyAlignment="1">
      <alignment horizontal="right" vertical="center" wrapText="1"/>
    </xf>
    <xf numFmtId="164" fontId="59" fillId="0" borderId="8" xfId="1" applyFont="1" applyFill="1" applyBorder="1" applyAlignment="1">
      <alignment horizontal="right" vertical="center" wrapText="1"/>
    </xf>
    <xf numFmtId="164" fontId="33" fillId="0" borderId="8" xfId="1" applyFont="1" applyFill="1" applyBorder="1" applyAlignment="1">
      <alignment horizontal="right" vertical="center" wrapText="1"/>
    </xf>
    <xf numFmtId="0" fontId="33" fillId="0" borderId="8" xfId="89" applyFont="1" applyFill="1" applyBorder="1"/>
    <xf numFmtId="164" fontId="34" fillId="0" borderId="8" xfId="89" applyNumberFormat="1" applyFont="1" applyFill="1" applyBorder="1"/>
    <xf numFmtId="49" fontId="33" fillId="0" borderId="8" xfId="0" applyNumberFormat="1" applyFont="1" applyFill="1" applyBorder="1" applyAlignment="1">
      <alignment horizontal="justify" vertical="center" wrapText="1"/>
    </xf>
    <xf numFmtId="0" fontId="33" fillId="0" borderId="8" xfId="0" applyFont="1" applyFill="1" applyBorder="1" applyAlignment="1">
      <alignment horizontal="center" vertical="center" wrapText="1"/>
    </xf>
    <xf numFmtId="49" fontId="33" fillId="0" borderId="0" xfId="89" applyNumberFormat="1" applyFont="1" applyFill="1" applyBorder="1" applyAlignment="1">
      <alignment horizontal="center" vertical="center" wrapText="1"/>
    </xf>
    <xf numFmtId="0" fontId="33" fillId="0" borderId="0" xfId="89" applyFont="1" applyFill="1" applyBorder="1" applyAlignment="1">
      <alignment horizontal="left" vertical="center"/>
    </xf>
    <xf numFmtId="0" fontId="33" fillId="0" borderId="0" xfId="89" applyFont="1" applyFill="1" applyBorder="1" applyAlignment="1">
      <alignment vertical="center"/>
    </xf>
    <xf numFmtId="49" fontId="33" fillId="0" borderId="0" xfId="89" applyNumberFormat="1" applyFont="1" applyFill="1" applyBorder="1" applyAlignment="1">
      <alignment horizontal="center" vertical="center"/>
    </xf>
    <xf numFmtId="0" fontId="44" fillId="24" borderId="0" xfId="0" applyFont="1" applyFill="1" applyBorder="1" applyAlignment="1">
      <alignment horizontal="left"/>
    </xf>
    <xf numFmtId="0" fontId="36" fillId="24" borderId="0" xfId="0" applyFont="1" applyFill="1" applyBorder="1" applyAlignment="1">
      <alignment horizontal="left" vertical="center"/>
    </xf>
    <xf numFmtId="0" fontId="62" fillId="24" borderId="0" xfId="0" applyFont="1" applyFill="1" applyBorder="1" applyAlignment="1">
      <alignment horizontal="left"/>
    </xf>
    <xf numFmtId="0" fontId="34" fillId="0" borderId="8" xfId="0" applyFont="1" applyFill="1" applyBorder="1" applyAlignment="1">
      <alignment horizontal="right" vertical="center"/>
    </xf>
    <xf numFmtId="4" fontId="34" fillId="0" borderId="8" xfId="1" applyNumberFormat="1" applyFont="1" applyFill="1" applyBorder="1" applyAlignment="1">
      <alignment horizontal="right" vertical="center"/>
    </xf>
    <xf numFmtId="0" fontId="28" fillId="24" borderId="0" xfId="0" applyFont="1" applyFill="1" applyBorder="1" applyAlignment="1">
      <alignment horizontal="center" vertical="center"/>
    </xf>
    <xf numFmtId="0" fontId="34" fillId="25" borderId="8" xfId="0" applyFont="1" applyFill="1" applyBorder="1" applyAlignment="1">
      <alignment horizontal="center" vertical="center"/>
    </xf>
    <xf numFmtId="0" fontId="34" fillId="25" borderId="8" xfId="0" applyFont="1" applyFill="1" applyBorder="1" applyAlignment="1">
      <alignment horizontal="center" vertical="center" wrapText="1"/>
    </xf>
    <xf numFmtId="4" fontId="33" fillId="24" borderId="0" xfId="0" applyNumberFormat="1" applyFont="1" applyFill="1" applyBorder="1" applyAlignment="1">
      <alignment horizontal="center" vertical="top" wrapText="1"/>
    </xf>
    <xf numFmtId="4" fontId="34" fillId="24" borderId="2" xfId="0" applyNumberFormat="1" applyFont="1" applyFill="1" applyBorder="1" applyAlignment="1">
      <alignment horizontal="center" vertical="top" wrapText="1"/>
    </xf>
    <xf numFmtId="0" fontId="36" fillId="0" borderId="0" xfId="82" applyFont="1" applyFill="1" applyBorder="1" applyAlignment="1">
      <alignment horizontal="center" vertical="center"/>
    </xf>
    <xf numFmtId="0" fontId="38" fillId="0" borderId="0" xfId="83" applyFont="1" applyBorder="1" applyAlignment="1">
      <alignment horizontal="left" vertical="center" wrapText="1"/>
    </xf>
    <xf numFmtId="0" fontId="43" fillId="26" borderId="8" xfId="82" applyFont="1" applyFill="1" applyBorder="1" applyAlignment="1">
      <alignment horizontal="center" vertical="center"/>
    </xf>
    <xf numFmtId="40" fontId="43" fillId="26" borderId="8" xfId="82" applyNumberFormat="1" applyFont="1" applyFill="1" applyBorder="1" applyAlignment="1">
      <alignment horizontal="center" vertical="center"/>
    </xf>
    <xf numFmtId="4" fontId="34" fillId="24" borderId="2" xfId="0" applyNumberFormat="1" applyFont="1" applyFill="1" applyBorder="1" applyAlignment="1">
      <alignment horizontal="center" vertical="center" wrapText="1"/>
    </xf>
    <xf numFmtId="4" fontId="33" fillId="24" borderId="0" xfId="0" applyNumberFormat="1" applyFont="1" applyFill="1" applyBorder="1" applyAlignment="1">
      <alignment horizontal="center" vertical="center" wrapText="1"/>
    </xf>
    <xf numFmtId="0" fontId="40" fillId="29" borderId="8" xfId="0" applyFont="1" applyFill="1" applyBorder="1" applyAlignment="1">
      <alignment horizontal="center" vertical="center"/>
    </xf>
    <xf numFmtId="49" fontId="40" fillId="0" borderId="8" xfId="0" applyNumberFormat="1" applyFont="1" applyFill="1" applyBorder="1" applyAlignment="1">
      <alignment horizontal="center" vertical="center"/>
    </xf>
    <xf numFmtId="0" fontId="40" fillId="0" borderId="8" xfId="0" applyNumberFormat="1" applyFont="1" applyFill="1" applyBorder="1" applyAlignment="1">
      <alignment horizontal="center" vertical="center"/>
    </xf>
    <xf numFmtId="164" fontId="40" fillId="29" borderId="8" xfId="1" applyFont="1" applyFill="1" applyBorder="1" applyAlignment="1">
      <alignment horizontal="right" vertical="center"/>
    </xf>
    <xf numFmtId="4" fontId="40" fillId="0" borderId="8" xfId="0" applyNumberFormat="1" applyFont="1" applyFill="1" applyBorder="1" applyAlignment="1">
      <alignment horizontal="left" vertical="center" wrapText="1"/>
    </xf>
    <xf numFmtId="0" fontId="40" fillId="0" borderId="8" xfId="0" applyFont="1" applyFill="1" applyBorder="1" applyAlignment="1">
      <alignment horizontal="left" vertical="center" wrapText="1"/>
    </xf>
    <xf numFmtId="4" fontId="39" fillId="0" borderId="8" xfId="1" applyNumberFormat="1" applyFont="1" applyFill="1" applyBorder="1" applyAlignment="1">
      <alignment horizontal="right" vertical="center"/>
    </xf>
    <xf numFmtId="0" fontId="40" fillId="27" borderId="8" xfId="0" applyFont="1" applyFill="1" applyBorder="1" applyAlignment="1">
      <alignment horizontal="center" vertical="center"/>
    </xf>
    <xf numFmtId="164" fontId="40" fillId="27" borderId="8" xfId="1" applyNumberFormat="1" applyFont="1" applyFill="1" applyBorder="1" applyAlignment="1">
      <alignment horizontal="center" vertical="center"/>
    </xf>
    <xf numFmtId="0" fontId="36" fillId="0" borderId="0" xfId="89" applyFont="1" applyBorder="1" applyAlignment="1">
      <alignment horizontal="center" vertical="center"/>
    </xf>
    <xf numFmtId="0" fontId="33" fillId="0" borderId="0" xfId="89" applyFont="1" applyFill="1" applyBorder="1" applyAlignment="1">
      <alignment horizontal="left" wrapText="1"/>
    </xf>
    <xf numFmtId="0" fontId="33" fillId="0" borderId="0" xfId="89" applyFont="1" applyFill="1" applyBorder="1" applyAlignment="1">
      <alignment horizontal="left"/>
    </xf>
    <xf numFmtId="0" fontId="33" fillId="0" borderId="0" xfId="89" applyFont="1" applyFill="1" applyBorder="1" applyAlignment="1">
      <alignment horizontal="left" vertical="center"/>
    </xf>
    <xf numFmtId="0" fontId="33" fillId="0" borderId="0" xfId="89" applyFont="1" applyFill="1" applyBorder="1" applyAlignment="1">
      <alignment horizontal="left" vertical="center" wrapText="1"/>
    </xf>
    <xf numFmtId="0" fontId="34" fillId="0" borderId="0" xfId="86" applyFont="1" applyAlignment="1" applyProtection="1"/>
    <xf numFmtId="10" fontId="42" fillId="32" borderId="1" xfId="88" applyNumberFormat="1" applyFont="1" applyFill="1" applyBorder="1" applyAlignment="1" applyProtection="1">
      <alignment horizontal="center" vertical="center" wrapText="1"/>
    </xf>
    <xf numFmtId="10" fontId="42" fillId="32" borderId="18" xfId="88" applyNumberFormat="1" applyFont="1" applyFill="1" applyBorder="1" applyAlignment="1" applyProtection="1">
      <alignment horizontal="center" vertical="center" wrapText="1"/>
    </xf>
    <xf numFmtId="10" fontId="42" fillId="32" borderId="3" xfId="88" applyNumberFormat="1" applyFont="1" applyFill="1" applyBorder="1" applyAlignment="1" applyProtection="1">
      <alignment horizontal="center" vertical="center" wrapText="1"/>
    </xf>
    <xf numFmtId="10" fontId="42" fillId="32" borderId="5" xfId="88" applyNumberFormat="1" applyFont="1" applyFill="1" applyBorder="1" applyAlignment="1" applyProtection="1">
      <alignment horizontal="center" vertical="center" wrapText="1"/>
    </xf>
    <xf numFmtId="0" fontId="63" fillId="0" borderId="0" xfId="87" applyNumberFormat="1" applyFont="1" applyBorder="1" applyAlignment="1">
      <alignment horizontal="center" vertical="center"/>
    </xf>
    <xf numFmtId="10" fontId="58" fillId="31" borderId="0" xfId="87" applyNumberFormat="1" applyFont="1" applyFill="1" applyBorder="1" applyAlignment="1" applyProtection="1">
      <alignment vertical="center" wrapText="1"/>
      <protection locked="0"/>
    </xf>
  </cellXfs>
  <cellStyles count="91">
    <cellStyle name="20% - Accent1" xfId="4" xr:uid="{00000000-0005-0000-0000-000000000000}"/>
    <cellStyle name="20% - Accent2" xfId="5" xr:uid="{00000000-0005-0000-0000-000001000000}"/>
    <cellStyle name="20% - Accent3" xfId="6" xr:uid="{00000000-0005-0000-0000-000002000000}"/>
    <cellStyle name="20% - Accent4" xfId="7" xr:uid="{00000000-0005-0000-0000-000003000000}"/>
    <cellStyle name="20% - Accent5" xfId="8" xr:uid="{00000000-0005-0000-0000-000004000000}"/>
    <cellStyle name="20% - Accent6" xfId="9" xr:uid="{00000000-0005-0000-0000-000005000000}"/>
    <cellStyle name="40% - Accent1" xfId="10" xr:uid="{00000000-0005-0000-0000-000006000000}"/>
    <cellStyle name="40% - Accent2" xfId="11" xr:uid="{00000000-0005-0000-0000-000007000000}"/>
    <cellStyle name="40% - Accent3" xfId="12" xr:uid="{00000000-0005-0000-0000-000008000000}"/>
    <cellStyle name="40% - Accent4" xfId="13" xr:uid="{00000000-0005-0000-0000-000009000000}"/>
    <cellStyle name="40% - Accent5" xfId="14" xr:uid="{00000000-0005-0000-0000-00000A000000}"/>
    <cellStyle name="40% - Accent6" xfId="15" xr:uid="{00000000-0005-0000-0000-00000B000000}"/>
    <cellStyle name="60% - Accent1" xfId="16" xr:uid="{00000000-0005-0000-0000-00000C000000}"/>
    <cellStyle name="60% - Accent2" xfId="17" xr:uid="{00000000-0005-0000-0000-00000D000000}"/>
    <cellStyle name="60% - Accent3" xfId="18" xr:uid="{00000000-0005-0000-0000-00000E000000}"/>
    <cellStyle name="60% - Accent4" xfId="19" xr:uid="{00000000-0005-0000-0000-00000F000000}"/>
    <cellStyle name="60% - Accent5" xfId="20" xr:uid="{00000000-0005-0000-0000-000010000000}"/>
    <cellStyle name="60% - Accent6" xfId="21" xr:uid="{00000000-0005-0000-0000-000011000000}"/>
    <cellStyle name="Accent1" xfId="22" xr:uid="{00000000-0005-0000-0000-000012000000}"/>
    <cellStyle name="Accent2" xfId="23" xr:uid="{00000000-0005-0000-0000-000013000000}"/>
    <cellStyle name="Accent3" xfId="24" xr:uid="{00000000-0005-0000-0000-000014000000}"/>
    <cellStyle name="Accent4" xfId="25" xr:uid="{00000000-0005-0000-0000-000015000000}"/>
    <cellStyle name="Accent5" xfId="26" xr:uid="{00000000-0005-0000-0000-000016000000}"/>
    <cellStyle name="Accent6" xfId="27" xr:uid="{00000000-0005-0000-0000-000017000000}"/>
    <cellStyle name="asd" xfId="28" xr:uid="{00000000-0005-0000-0000-000018000000}"/>
    <cellStyle name="Bad" xfId="29" xr:uid="{00000000-0005-0000-0000-000019000000}"/>
    <cellStyle name="Calculation" xfId="30" xr:uid="{00000000-0005-0000-0000-00001A000000}"/>
    <cellStyle name="Check Cell" xfId="31" xr:uid="{00000000-0005-0000-0000-00001B000000}"/>
    <cellStyle name="Comma 2" xfId="32" xr:uid="{00000000-0005-0000-0000-00001C000000}"/>
    <cellStyle name="Comma 2 2" xfId="63" xr:uid="{00000000-0005-0000-0000-00001D000000}"/>
    <cellStyle name="Euro" xfId="33" xr:uid="{00000000-0005-0000-0000-00001E000000}"/>
    <cellStyle name="Euro 2" xfId="64" xr:uid="{00000000-0005-0000-0000-00001F000000}"/>
    <cellStyle name="Explanatory Text" xfId="34" xr:uid="{00000000-0005-0000-0000-000020000000}"/>
    <cellStyle name="Good" xfId="35" xr:uid="{00000000-0005-0000-0000-000021000000}"/>
    <cellStyle name="Heading 1" xfId="36" xr:uid="{00000000-0005-0000-0000-000022000000}"/>
    <cellStyle name="Heading 2" xfId="37" xr:uid="{00000000-0005-0000-0000-000023000000}"/>
    <cellStyle name="Heading 3" xfId="38" xr:uid="{00000000-0005-0000-0000-000024000000}"/>
    <cellStyle name="Heading 4" xfId="39" xr:uid="{00000000-0005-0000-0000-000025000000}"/>
    <cellStyle name="Input" xfId="40" xr:uid="{00000000-0005-0000-0000-000026000000}"/>
    <cellStyle name="Linked Cell" xfId="41" xr:uid="{00000000-0005-0000-0000-000027000000}"/>
    <cellStyle name="Moeda 2" xfId="42" xr:uid="{00000000-0005-0000-0000-000028000000}"/>
    <cellStyle name="Moeda 2 2" xfId="84" xr:uid="{00000000-0005-0000-0000-000029000000}"/>
    <cellStyle name="Neutral" xfId="43" xr:uid="{00000000-0005-0000-0000-00002A000000}"/>
    <cellStyle name="Normal" xfId="0" builtinId="0"/>
    <cellStyle name="Normal 11 2" xfId="82" xr:uid="{00000000-0005-0000-0000-00002C000000}"/>
    <cellStyle name="Normal 2" xfId="44" xr:uid="{00000000-0005-0000-0000-00002D000000}"/>
    <cellStyle name="Normal 2 2" xfId="86" xr:uid="{00000000-0005-0000-0000-00002E000000}"/>
    <cellStyle name="Normal 3" xfId="3" xr:uid="{00000000-0005-0000-0000-00002F000000}"/>
    <cellStyle name="Normal 3 2" xfId="62" xr:uid="{00000000-0005-0000-0000-000030000000}"/>
    <cellStyle name="Normal 4" xfId="56" xr:uid="{00000000-0005-0000-0000-000031000000}"/>
    <cellStyle name="Normal 4 2" xfId="59" xr:uid="{00000000-0005-0000-0000-000032000000}"/>
    <cellStyle name="Normal 4 2 2" xfId="74" xr:uid="{00000000-0005-0000-0000-000033000000}"/>
    <cellStyle name="Normal 4 3" xfId="73" xr:uid="{00000000-0005-0000-0000-000034000000}"/>
    <cellStyle name="Normal 5" xfId="83" xr:uid="{00000000-0005-0000-0000-000035000000}"/>
    <cellStyle name="Normal 6" xfId="87" xr:uid="{D74D465C-54A2-4A31-9245-7261D14E8448}"/>
    <cellStyle name="Normal 7" xfId="89" xr:uid="{4AF09664-4BC7-4AFD-A632-AA0F3D5DF738}"/>
    <cellStyle name="Normal_Pesquisa no referencial 10 de maio de 2013" xfId="90" xr:uid="{6415FBDF-4888-497D-9C2A-B6CE6AA4F762}"/>
    <cellStyle name="Note" xfId="45" xr:uid="{00000000-0005-0000-0000-000036000000}"/>
    <cellStyle name="Note 2" xfId="65" xr:uid="{00000000-0005-0000-0000-000037000000}"/>
    <cellStyle name="Output" xfId="46" xr:uid="{00000000-0005-0000-0000-000038000000}"/>
    <cellStyle name="Percent 2" xfId="47" xr:uid="{00000000-0005-0000-0000-000039000000}"/>
    <cellStyle name="Percent 2 2" xfId="66" xr:uid="{00000000-0005-0000-0000-00003A000000}"/>
    <cellStyle name="Porcentagem" xfId="81" builtinId="5"/>
    <cellStyle name="Porcentagem 2" xfId="48" xr:uid="{00000000-0005-0000-0000-00003C000000}"/>
    <cellStyle name="Porcentagem 2 2" xfId="49" xr:uid="{00000000-0005-0000-0000-00003D000000}"/>
    <cellStyle name="Porcentagem 2 2 2" xfId="68" xr:uid="{00000000-0005-0000-0000-00003E000000}"/>
    <cellStyle name="Porcentagem 2 3" xfId="67" xr:uid="{00000000-0005-0000-0000-00003F000000}"/>
    <cellStyle name="Porcentagem 3" xfId="88" xr:uid="{5429D4BF-3C9C-40DD-A1DB-B31C98F2E3DD}"/>
    <cellStyle name="Separador de milhares 2" xfId="2" xr:uid="{00000000-0005-0000-0000-000040000000}"/>
    <cellStyle name="Separador de milhares 2 2" xfId="61" xr:uid="{00000000-0005-0000-0000-000041000000}"/>
    <cellStyle name="Separador de milhares 2 2 2" xfId="76" xr:uid="{00000000-0005-0000-0000-000042000000}"/>
    <cellStyle name="Separador de milhares 3" xfId="50" xr:uid="{00000000-0005-0000-0000-000043000000}"/>
    <cellStyle name="Separador de milhares 3 2" xfId="69" xr:uid="{00000000-0005-0000-0000-000044000000}"/>
    <cellStyle name="Separador de milhares 3 2 2" xfId="77" xr:uid="{00000000-0005-0000-0000-000045000000}"/>
    <cellStyle name="Separador de milhares 6" xfId="57" xr:uid="{00000000-0005-0000-0000-000046000000}"/>
    <cellStyle name="Separador de milhares 6 2" xfId="71" xr:uid="{00000000-0005-0000-0000-000047000000}"/>
    <cellStyle name="Separador de milhares 6 2 2" xfId="79" xr:uid="{00000000-0005-0000-0000-000048000000}"/>
    <cellStyle name="Title" xfId="51" xr:uid="{00000000-0005-0000-0000-000049000000}"/>
    <cellStyle name="Título 1 1" xfId="52" xr:uid="{00000000-0005-0000-0000-00004A000000}"/>
    <cellStyle name="Título 1 1 1" xfId="53" xr:uid="{00000000-0005-0000-0000-00004B000000}"/>
    <cellStyle name="Vírgula" xfId="1" builtinId="3"/>
    <cellStyle name="Vírgula 2" xfId="55" xr:uid="{00000000-0005-0000-0000-00004D000000}"/>
    <cellStyle name="Vírgula 2 2" xfId="70" xr:uid="{00000000-0005-0000-0000-00004E000000}"/>
    <cellStyle name="Vírgula 2 2 2" xfId="78" xr:uid="{00000000-0005-0000-0000-00004F000000}"/>
    <cellStyle name="Vírgula 3" xfId="58" xr:uid="{00000000-0005-0000-0000-000050000000}"/>
    <cellStyle name="Vírgula 3 2" xfId="72" xr:uid="{00000000-0005-0000-0000-000051000000}"/>
    <cellStyle name="Vírgula 3 2 2" xfId="80" xr:uid="{00000000-0005-0000-0000-000052000000}"/>
    <cellStyle name="Vírgula 4" xfId="60" xr:uid="{00000000-0005-0000-0000-000053000000}"/>
    <cellStyle name="Vírgula 4 2" xfId="75" xr:uid="{00000000-0005-0000-0000-000054000000}"/>
    <cellStyle name="Vírgula 5" xfId="85" xr:uid="{00000000-0005-0000-0000-000055000000}"/>
    <cellStyle name="Warning Text" xfId="54" xr:uid="{00000000-0005-0000-0000-000056000000}"/>
  </cellStyles>
  <dxfs count="208">
    <dxf>
      <font>
        <condense val="0"/>
        <extend val="0"/>
        <color indexed="12"/>
      </font>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i val="0"/>
        <condense val="0"/>
        <extend val="0"/>
      </font>
      <fill>
        <patternFill>
          <bgColor indexed="22"/>
        </patternFill>
      </fill>
      <border>
        <left style="thin">
          <color indexed="64"/>
        </left>
        <right style="thin">
          <color indexed="64"/>
        </right>
        <top style="thin">
          <color indexed="64"/>
        </top>
        <bottom style="thin">
          <color indexed="64"/>
        </bottom>
      </border>
    </dxf>
    <dxf>
      <font>
        <color rgb="FFFFFFFF"/>
      </font>
    </dxf>
  </dxfs>
  <tableStyles count="0" defaultTableStyle="TableStyleMedium2" defaultPivotStyle="PivotStyleLight16"/>
  <colors>
    <mruColors>
      <color rgb="FFFFFF99"/>
      <color rgb="FFFF66CC"/>
      <color rgb="FFFFFFCC"/>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ervidordc\dfs\Users\rodrigo%20bazilato\AppData\Local\Microsoft\Windows\Temporary%20Internet%20Files\Content.Outlook\5K7GRJJ2\Mod%20Med%20CAIXA-COHAB\Cnto%20n&#186;%20018\Mucurici%20(72%20casas)\Medi&#231;&#245;es\PLANILHA%20-%20CANTEIRO%20OBR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Matheus.VM-ENGENHARIA/Google%20Drive/PREFEITURA%20DE%20ITARANA/Jur&#237;dica/Creche%20-%20Centro/Novo%20or&#231;amento/BDI%20-%20Calculo%20Automatico%20-%20V10%20(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rçamento e Medição"/>
      <sheetName val="RESUMO"/>
    </sheetNames>
    <sheetDataSet>
      <sheetData sheetId="0" refreshError="1"/>
      <sheetData sheetId="1">
        <row r="2">
          <cell r="M2">
            <v>1</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lhamento do BDI"/>
      <sheetName val="Auxiliar"/>
    </sheetNames>
    <sheetDataSet>
      <sheetData sheetId="0"/>
      <sheetData sheetId="1">
        <row r="17">
          <cell r="A17" t="str">
            <v>Atende</v>
          </cell>
        </row>
      </sheetData>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vmlDrawing" Target="../drawings/vmlDrawing6.vml"/><Relationship Id="rId1" Type="http://schemas.openxmlformats.org/officeDocument/2006/relationships/printerSettings" Target="../printerSettings/printerSettings6.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V25"/>
  <sheetViews>
    <sheetView showGridLines="0" tabSelected="1" showWhiteSpace="0" view="pageBreakPreview" zoomScale="110" zoomScaleNormal="100" zoomScaleSheetLayoutView="110" workbookViewId="0">
      <selection activeCell="A11" sqref="A11"/>
    </sheetView>
  </sheetViews>
  <sheetFormatPr defaultColWidth="10.6640625" defaultRowHeight="15" customHeight="1" x14ac:dyDescent="0.25"/>
  <cols>
    <col min="1" max="4" width="9.109375" style="29"/>
    <col min="5" max="10" width="10.6640625" style="29"/>
    <col min="11" max="48" width="10.6640625" style="15"/>
    <col min="49" max="16384" width="10.6640625" style="1"/>
  </cols>
  <sheetData>
    <row r="2" spans="1:48" ht="15" customHeight="1" x14ac:dyDescent="0.25">
      <c r="A2" s="18"/>
      <c r="B2" s="18"/>
      <c r="C2" s="18"/>
      <c r="D2" s="18"/>
      <c r="E2" s="18"/>
      <c r="F2" s="18"/>
      <c r="G2" s="18"/>
      <c r="H2" s="18"/>
      <c r="I2" s="18"/>
      <c r="J2" s="18"/>
    </row>
    <row r="3" spans="1:48" ht="15" customHeight="1" x14ac:dyDescent="0.25">
      <c r="A3" s="18"/>
      <c r="B3" s="18"/>
      <c r="C3" s="18"/>
      <c r="D3" s="18"/>
      <c r="E3" s="18"/>
      <c r="F3" s="18"/>
      <c r="G3" s="18"/>
      <c r="H3" s="18"/>
      <c r="I3" s="18"/>
      <c r="J3" s="18"/>
    </row>
    <row r="4" spans="1:48" ht="15" customHeight="1" x14ac:dyDescent="0.25">
      <c r="A4" s="18"/>
      <c r="B4" s="18"/>
      <c r="C4" s="18"/>
      <c r="D4" s="18"/>
      <c r="E4" s="18"/>
      <c r="F4" s="18"/>
      <c r="G4" s="18"/>
      <c r="H4" s="18"/>
      <c r="I4" s="18"/>
      <c r="J4" s="18"/>
    </row>
    <row r="5" spans="1:48" ht="15" customHeight="1" x14ac:dyDescent="0.25">
      <c r="A5" s="18"/>
      <c r="B5" s="18"/>
      <c r="C5" s="18"/>
      <c r="D5" s="18"/>
      <c r="E5" s="18"/>
      <c r="F5" s="18"/>
      <c r="G5" s="18"/>
      <c r="H5" s="18"/>
      <c r="I5" s="18"/>
      <c r="J5" s="18"/>
    </row>
    <row r="6" spans="1:48" s="2" customFormat="1" ht="15" customHeight="1" x14ac:dyDescent="0.25">
      <c r="A6" s="18"/>
      <c r="B6" s="18"/>
      <c r="C6" s="18"/>
      <c r="D6" s="18"/>
      <c r="E6" s="18"/>
      <c r="F6" s="18"/>
      <c r="G6" s="18"/>
      <c r="H6" s="18"/>
      <c r="I6" s="18"/>
      <c r="J6" s="18"/>
      <c r="K6" s="16"/>
      <c r="L6" s="16"/>
      <c r="M6" s="16"/>
      <c r="N6" s="16"/>
      <c r="O6" s="16"/>
      <c r="P6" s="16"/>
      <c r="Q6" s="16"/>
      <c r="R6" s="16"/>
      <c r="S6" s="16"/>
      <c r="T6" s="16"/>
      <c r="U6" s="16"/>
      <c r="V6" s="16"/>
      <c r="W6" s="16"/>
      <c r="X6" s="16"/>
      <c r="Y6" s="16"/>
      <c r="Z6" s="16"/>
      <c r="AA6" s="16"/>
      <c r="AB6" s="16"/>
      <c r="AC6" s="16"/>
      <c r="AD6" s="16"/>
      <c r="AE6" s="16"/>
      <c r="AF6" s="16"/>
      <c r="AG6" s="16"/>
      <c r="AH6" s="16"/>
      <c r="AI6" s="16"/>
      <c r="AJ6" s="16"/>
      <c r="AK6" s="16"/>
      <c r="AL6" s="16"/>
      <c r="AM6" s="16"/>
      <c r="AN6" s="16"/>
      <c r="AO6" s="16"/>
      <c r="AP6" s="16"/>
      <c r="AQ6" s="16"/>
      <c r="AR6" s="16"/>
      <c r="AS6" s="16"/>
      <c r="AT6" s="16"/>
      <c r="AU6" s="16"/>
      <c r="AV6" s="16"/>
    </row>
    <row r="7" spans="1:48" ht="15" customHeight="1" x14ac:dyDescent="0.25">
      <c r="A7" s="18"/>
      <c r="B7" s="18"/>
      <c r="C7" s="18"/>
      <c r="D7" s="18"/>
      <c r="E7" s="18"/>
      <c r="F7" s="18"/>
      <c r="G7" s="18"/>
      <c r="H7" s="18"/>
      <c r="I7" s="18"/>
      <c r="J7" s="18"/>
    </row>
    <row r="8" spans="1:48" ht="12.75" customHeight="1" x14ac:dyDescent="0.25">
      <c r="A8" s="18"/>
      <c r="B8" s="18"/>
      <c r="C8" s="18"/>
      <c r="D8" s="18"/>
      <c r="E8" s="18"/>
      <c r="F8" s="18"/>
      <c r="G8" s="18"/>
      <c r="H8" s="18"/>
      <c r="I8" s="18"/>
      <c r="J8" s="18"/>
    </row>
    <row r="9" spans="1:48" ht="60" customHeight="1" x14ac:dyDescent="0.25">
      <c r="A9" s="18"/>
      <c r="B9" s="18"/>
      <c r="C9" s="18"/>
      <c r="D9" s="18"/>
      <c r="E9" s="18"/>
      <c r="F9" s="18"/>
      <c r="G9" s="18"/>
      <c r="H9" s="18"/>
      <c r="I9" s="18"/>
      <c r="J9" s="18"/>
    </row>
    <row r="10" spans="1:48" ht="25.5" customHeight="1" x14ac:dyDescent="0.25">
      <c r="A10" s="311" t="s">
        <v>140</v>
      </c>
      <c r="B10" s="311"/>
      <c r="C10" s="311"/>
      <c r="D10" s="311"/>
      <c r="E10" s="311"/>
      <c r="F10" s="311"/>
      <c r="G10" s="311"/>
      <c r="H10" s="311"/>
      <c r="I10" s="132"/>
      <c r="J10" s="18"/>
    </row>
    <row r="11" spans="1:48" ht="22.5" customHeight="1" x14ac:dyDescent="0.3">
      <c r="A11" s="133" t="s">
        <v>145</v>
      </c>
      <c r="B11" s="134"/>
      <c r="C11" s="134"/>
      <c r="D11" s="134"/>
      <c r="E11" s="134"/>
      <c r="F11" s="134"/>
      <c r="G11" s="134"/>
      <c r="H11" s="134"/>
      <c r="I11" s="132"/>
      <c r="J11" s="18"/>
    </row>
    <row r="12" spans="1:48" ht="126" customHeight="1" x14ac:dyDescent="0.25">
      <c r="A12" s="312" t="s">
        <v>144</v>
      </c>
      <c r="B12" s="310"/>
      <c r="C12" s="310"/>
      <c r="D12" s="310"/>
      <c r="E12" s="310"/>
      <c r="F12" s="310"/>
      <c r="G12" s="310"/>
      <c r="H12" s="310"/>
      <c r="I12" s="310"/>
      <c r="J12" s="18"/>
    </row>
    <row r="13" spans="1:48" ht="24.9" customHeight="1" x14ac:dyDescent="0.35">
      <c r="A13" s="310" t="s">
        <v>15</v>
      </c>
      <c r="B13" s="310"/>
      <c r="C13" s="310"/>
      <c r="D13" s="310"/>
      <c r="E13" s="310"/>
      <c r="F13" s="310"/>
      <c r="G13" s="310"/>
      <c r="H13" s="310"/>
      <c r="I13" s="242"/>
      <c r="J13" s="113"/>
    </row>
    <row r="14" spans="1:48" ht="24.9" customHeight="1" x14ac:dyDescent="0.35">
      <c r="A14" s="310" t="s">
        <v>21</v>
      </c>
      <c r="B14" s="310"/>
      <c r="C14" s="310"/>
      <c r="D14" s="310"/>
      <c r="E14" s="310"/>
      <c r="F14" s="310"/>
      <c r="G14" s="310"/>
      <c r="H14" s="310"/>
      <c r="I14" s="242"/>
      <c r="J14" s="113"/>
    </row>
    <row r="15" spans="1:48" ht="24.9" customHeight="1" x14ac:dyDescent="0.35">
      <c r="A15" s="310" t="s">
        <v>20</v>
      </c>
      <c r="B15" s="310"/>
      <c r="C15" s="310"/>
      <c r="D15" s="310"/>
      <c r="E15" s="310"/>
      <c r="F15" s="310"/>
      <c r="G15" s="310"/>
      <c r="H15" s="310"/>
      <c r="I15" s="242"/>
      <c r="J15" s="113"/>
    </row>
    <row r="16" spans="1:48" ht="24.9" customHeight="1" x14ac:dyDescent="0.25">
      <c r="A16" s="310" t="s">
        <v>121</v>
      </c>
      <c r="B16" s="310"/>
      <c r="C16" s="310"/>
      <c r="D16" s="310"/>
      <c r="E16" s="310"/>
      <c r="F16" s="310"/>
      <c r="G16" s="310"/>
      <c r="H16" s="310"/>
      <c r="I16" s="242"/>
      <c r="J16" s="18"/>
    </row>
    <row r="17" spans="1:10" ht="24.9" customHeight="1" x14ac:dyDescent="0.25">
      <c r="A17" s="241" t="s">
        <v>202</v>
      </c>
      <c r="B17" s="241"/>
      <c r="C17" s="241"/>
      <c r="D17" s="241"/>
      <c r="E17" s="241"/>
      <c r="F17" s="241"/>
      <c r="G17" s="241"/>
      <c r="H17" s="241"/>
      <c r="I17" s="241"/>
      <c r="J17" s="18"/>
    </row>
    <row r="18" spans="1:10" ht="24.9" customHeight="1" x14ac:dyDescent="0.25">
      <c r="A18" s="241" t="s">
        <v>347</v>
      </c>
      <c r="B18" s="241"/>
      <c r="C18" s="241"/>
      <c r="D18" s="241"/>
      <c r="E18" s="241"/>
      <c r="F18" s="241"/>
      <c r="G18" s="241"/>
      <c r="H18" s="241"/>
      <c r="I18" s="241"/>
      <c r="J18" s="18"/>
    </row>
    <row r="19" spans="1:10" ht="24.9" customHeight="1" x14ac:dyDescent="0.35">
      <c r="A19" s="241" t="s">
        <v>234</v>
      </c>
      <c r="B19" s="229"/>
      <c r="C19" s="229"/>
      <c r="D19" s="229"/>
      <c r="E19" s="229"/>
      <c r="F19" s="229"/>
      <c r="G19" s="229"/>
      <c r="H19" s="229"/>
      <c r="I19" s="241"/>
      <c r="J19" s="113"/>
    </row>
    <row r="20" spans="1:10" ht="24.9" customHeight="1" x14ac:dyDescent="0.35">
      <c r="A20" s="310" t="s">
        <v>67</v>
      </c>
      <c r="B20" s="310"/>
      <c r="C20" s="310"/>
      <c r="D20" s="310"/>
      <c r="E20" s="310"/>
      <c r="F20" s="310"/>
      <c r="G20" s="310"/>
      <c r="H20" s="310"/>
      <c r="I20" s="241"/>
      <c r="J20" s="113"/>
    </row>
    <row r="21" spans="1:10" ht="24.9" customHeight="1" x14ac:dyDescent="0.25">
      <c r="A21" s="133"/>
      <c r="B21" s="18"/>
      <c r="C21" s="18"/>
      <c r="D21" s="18"/>
      <c r="E21" s="18"/>
      <c r="F21" s="18"/>
      <c r="G21" s="18"/>
      <c r="H21" s="18"/>
      <c r="I21" s="18"/>
      <c r="J21" s="18"/>
    </row>
    <row r="22" spans="1:10" ht="15" customHeight="1" x14ac:dyDescent="0.25">
      <c r="A22" s="18"/>
      <c r="B22" s="18"/>
      <c r="C22" s="18"/>
      <c r="D22" s="18"/>
      <c r="E22" s="18"/>
      <c r="F22" s="18"/>
      <c r="G22" s="18"/>
      <c r="H22" s="18"/>
      <c r="I22" s="18"/>
      <c r="J22" s="19"/>
    </row>
    <row r="23" spans="1:10" ht="29.25" customHeight="1" x14ac:dyDescent="0.25">
      <c r="A23" s="310"/>
      <c r="B23" s="310"/>
      <c r="C23" s="310"/>
      <c r="D23" s="310"/>
      <c r="E23" s="310"/>
      <c r="F23" s="310"/>
      <c r="G23" s="310"/>
      <c r="H23" s="310"/>
      <c r="I23" s="310"/>
      <c r="J23" s="19"/>
    </row>
    <row r="24" spans="1:10" ht="15" customHeight="1" x14ac:dyDescent="0.25">
      <c r="A24" s="310"/>
      <c r="B24" s="310"/>
      <c r="C24" s="310"/>
      <c r="D24" s="310"/>
      <c r="E24" s="310"/>
      <c r="F24" s="310"/>
      <c r="G24" s="310"/>
      <c r="H24" s="310"/>
      <c r="I24" s="310"/>
      <c r="J24" s="17"/>
    </row>
    <row r="25" spans="1:10" ht="15" customHeight="1" x14ac:dyDescent="0.25">
      <c r="A25" s="17"/>
      <c r="B25" s="17"/>
      <c r="C25" s="17"/>
      <c r="D25" s="17"/>
      <c r="E25" s="17"/>
      <c r="F25" s="17"/>
      <c r="G25" s="17"/>
      <c r="H25" s="17"/>
      <c r="I25" s="17"/>
    </row>
  </sheetData>
  <mergeCells count="9">
    <mergeCell ref="A20:H20"/>
    <mergeCell ref="A10:H10"/>
    <mergeCell ref="A12:I12"/>
    <mergeCell ref="A23:I23"/>
    <mergeCell ref="A24:I24"/>
    <mergeCell ref="A13:H13"/>
    <mergeCell ref="A14:H14"/>
    <mergeCell ref="A15:H15"/>
    <mergeCell ref="A16:H16"/>
  </mergeCells>
  <printOptions horizontalCentered="1"/>
  <pageMargins left="0.98425196850393704" right="0.59055118110236227" top="1.1811023622047245" bottom="0.78740157480314965" header="0.47244094488188981" footer="0"/>
  <pageSetup paperSize="9" orientation="portrait" r:id="rId1"/>
  <headerFooter>
    <oddHeader>&amp;C&amp;"MV Boli,Normal Negrito"&amp;20&amp;G</oddHeader>
    <oddFooter xml:space="preserve">&amp;C&amp;"Trebuchet MS,Itálico"&amp;9Rua Pedro Caetano Domingues, nº 33, Quincas Machado, Guaçuí – ES / CNPJ: 21.861.470/0001-10 
       contato.vmengenharia@gmail.com / (28) 9 9963 2562 / (28) 9 9966 6524                      
</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C63"/>
  <sheetViews>
    <sheetView view="pageBreakPreview" zoomScale="140" zoomScaleNormal="100" zoomScaleSheetLayoutView="140" zoomScalePageLayoutView="130" workbookViewId="0">
      <selection activeCell="J64" sqref="J61:J64"/>
    </sheetView>
  </sheetViews>
  <sheetFormatPr defaultColWidth="10.6640625" defaultRowHeight="13.2" x14ac:dyDescent="0.25"/>
  <cols>
    <col min="1" max="1" width="6.33203125" style="7" customWidth="1"/>
    <col min="2" max="2" width="8" style="7" customWidth="1"/>
    <col min="3" max="3" width="5" style="7" customWidth="1"/>
    <col min="4" max="4" width="37.44140625" style="28" customWidth="1"/>
    <col min="5" max="5" width="4.5546875" style="7" customWidth="1"/>
    <col min="6" max="6" width="6.6640625" style="7" customWidth="1"/>
    <col min="7" max="7" width="9.33203125" style="5" customWidth="1"/>
    <col min="8" max="8" width="9.5546875" style="5" customWidth="1"/>
    <col min="9" max="9" width="10.6640625" style="14" customWidth="1"/>
    <col min="10" max="10" width="10.44140625" style="5" customWidth="1"/>
    <col min="11" max="11" width="11.5546875" style="14" customWidth="1"/>
    <col min="12" max="29" width="10.6640625" style="14"/>
    <col min="30" max="16384" width="10.6640625" style="7"/>
  </cols>
  <sheetData>
    <row r="1" spans="1:29" s="3" customFormat="1" ht="26.25" customHeight="1" x14ac:dyDescent="0.25">
      <c r="A1" s="315" t="s">
        <v>15</v>
      </c>
      <c r="B1" s="315"/>
      <c r="C1" s="315"/>
      <c r="D1" s="315"/>
      <c r="E1" s="315"/>
      <c r="F1" s="315"/>
      <c r="G1" s="315"/>
      <c r="H1" s="315"/>
      <c r="I1" s="12"/>
      <c r="J1" s="12"/>
      <c r="K1" s="12"/>
      <c r="L1" s="12"/>
      <c r="M1" s="12"/>
      <c r="N1" s="12"/>
      <c r="O1" s="12"/>
      <c r="P1" s="12"/>
      <c r="Q1" s="12"/>
      <c r="R1" s="12"/>
      <c r="S1" s="12"/>
      <c r="T1" s="12"/>
      <c r="U1" s="12"/>
      <c r="V1" s="12"/>
      <c r="W1" s="12"/>
      <c r="X1" s="12"/>
      <c r="Y1" s="12"/>
      <c r="Z1" s="12"/>
      <c r="AA1" s="12"/>
      <c r="AB1" s="12"/>
      <c r="AC1" s="12"/>
    </row>
    <row r="2" spans="1:29" s="3" customFormat="1" ht="15" customHeight="1" x14ac:dyDescent="0.25">
      <c r="A2" s="25" t="s">
        <v>184</v>
      </c>
      <c r="B2" s="25"/>
      <c r="C2" s="25"/>
      <c r="D2" s="25"/>
      <c r="E2" s="150"/>
      <c r="F2" s="151"/>
      <c r="G2" s="152"/>
      <c r="H2" s="243" t="s">
        <v>208</v>
      </c>
      <c r="I2" s="12"/>
      <c r="J2" s="24"/>
      <c r="K2" s="30"/>
      <c r="L2" s="12"/>
      <c r="M2" s="12"/>
      <c r="N2" s="12"/>
      <c r="O2" s="12"/>
      <c r="P2" s="12"/>
      <c r="Q2" s="12"/>
      <c r="R2" s="12"/>
      <c r="S2" s="12"/>
      <c r="T2" s="12"/>
      <c r="U2" s="12"/>
      <c r="V2" s="12"/>
      <c r="W2" s="12"/>
      <c r="X2" s="12"/>
      <c r="Y2" s="12"/>
      <c r="Z2" s="12"/>
      <c r="AA2" s="12"/>
      <c r="AB2" s="12"/>
      <c r="AC2" s="12"/>
    </row>
    <row r="3" spans="1:29" s="3" customFormat="1" ht="15.75" customHeight="1" x14ac:dyDescent="0.25">
      <c r="A3" s="25" t="s">
        <v>185</v>
      </c>
      <c r="B3" s="25"/>
      <c r="C3" s="25"/>
      <c r="D3" s="24"/>
      <c r="E3" s="153" t="s">
        <v>186</v>
      </c>
      <c r="F3" s="154"/>
      <c r="G3" s="155" t="s">
        <v>274</v>
      </c>
      <c r="H3" s="244" t="s">
        <v>187</v>
      </c>
      <c r="I3" s="12"/>
      <c r="J3" s="24"/>
      <c r="K3" s="30"/>
      <c r="L3" s="12"/>
      <c r="M3" s="12"/>
      <c r="N3" s="12"/>
      <c r="O3" s="12"/>
      <c r="P3" s="12"/>
      <c r="Q3" s="12"/>
      <c r="R3" s="12"/>
      <c r="S3" s="12"/>
      <c r="T3" s="12"/>
      <c r="U3" s="12"/>
      <c r="V3" s="12"/>
      <c r="W3" s="12"/>
      <c r="X3" s="12"/>
      <c r="Y3" s="12"/>
      <c r="Z3" s="12"/>
      <c r="AA3" s="12"/>
      <c r="AB3" s="12"/>
      <c r="AC3" s="12"/>
    </row>
    <row r="4" spans="1:29" s="4" customFormat="1" x14ac:dyDescent="0.25">
      <c r="A4" s="316" t="s">
        <v>1</v>
      </c>
      <c r="B4" s="316" t="s">
        <v>22</v>
      </c>
      <c r="C4" s="316" t="s">
        <v>0</v>
      </c>
      <c r="D4" s="317" t="s">
        <v>2</v>
      </c>
      <c r="E4" s="316" t="s">
        <v>19</v>
      </c>
      <c r="F4" s="316" t="s">
        <v>27</v>
      </c>
      <c r="G4" s="316" t="s">
        <v>18</v>
      </c>
      <c r="H4" s="316"/>
      <c r="I4" s="13"/>
      <c r="J4" s="13"/>
      <c r="K4" s="13"/>
      <c r="L4" s="13"/>
      <c r="M4" s="13"/>
      <c r="N4" s="13"/>
      <c r="O4" s="13"/>
      <c r="P4" s="13"/>
      <c r="Q4" s="13"/>
      <c r="R4" s="13"/>
      <c r="S4" s="13"/>
      <c r="T4" s="13"/>
      <c r="U4" s="13"/>
      <c r="V4" s="13"/>
      <c r="W4" s="13"/>
      <c r="X4" s="13"/>
      <c r="Y4" s="13"/>
      <c r="Z4" s="13"/>
      <c r="AA4" s="13"/>
      <c r="AB4" s="13"/>
      <c r="AC4" s="13"/>
    </row>
    <row r="5" spans="1:29" s="4" customFormat="1" x14ac:dyDescent="0.25">
      <c r="A5" s="316"/>
      <c r="B5" s="316"/>
      <c r="C5" s="316"/>
      <c r="D5" s="317"/>
      <c r="E5" s="316"/>
      <c r="F5" s="316"/>
      <c r="G5" s="20" t="s">
        <v>17</v>
      </c>
      <c r="H5" s="20" t="s">
        <v>6</v>
      </c>
      <c r="I5" s="13"/>
      <c r="J5" s="20" t="s">
        <v>17</v>
      </c>
      <c r="K5" s="13"/>
      <c r="L5" s="13"/>
      <c r="M5" s="13"/>
      <c r="N5" s="13"/>
      <c r="O5" s="13"/>
      <c r="P5" s="13"/>
      <c r="Q5" s="13"/>
      <c r="R5" s="13"/>
      <c r="S5" s="13"/>
      <c r="T5" s="13"/>
      <c r="U5" s="13"/>
      <c r="V5" s="13"/>
      <c r="W5" s="13"/>
      <c r="X5" s="13"/>
      <c r="Y5" s="13"/>
      <c r="Z5" s="13"/>
      <c r="AA5" s="13"/>
      <c r="AB5" s="13"/>
      <c r="AC5" s="13"/>
    </row>
    <row r="6" spans="1:29" s="4" customFormat="1" x14ac:dyDescent="0.25">
      <c r="A6" s="156"/>
      <c r="B6" s="156"/>
      <c r="C6" s="157" t="s">
        <v>42</v>
      </c>
      <c r="D6" s="158" t="s">
        <v>30</v>
      </c>
      <c r="E6" s="156"/>
      <c r="F6" s="159"/>
      <c r="G6" s="160"/>
      <c r="H6" s="161"/>
      <c r="I6" s="13"/>
      <c r="J6" s="20"/>
      <c r="K6" s="13"/>
      <c r="L6" s="13"/>
      <c r="M6" s="13"/>
      <c r="N6" s="13"/>
      <c r="O6" s="13"/>
      <c r="P6" s="13"/>
      <c r="Q6" s="13"/>
      <c r="R6" s="13"/>
      <c r="S6" s="13"/>
      <c r="T6" s="13"/>
      <c r="U6" s="13"/>
      <c r="V6" s="13"/>
      <c r="W6" s="13"/>
      <c r="X6" s="13"/>
      <c r="Y6" s="13"/>
      <c r="Z6" s="13"/>
      <c r="AA6" s="13"/>
      <c r="AB6" s="13"/>
      <c r="AC6" s="13"/>
    </row>
    <row r="7" spans="1:29" s="4" customFormat="1" x14ac:dyDescent="0.25">
      <c r="A7" s="162" t="s">
        <v>238</v>
      </c>
      <c r="B7" s="162">
        <v>8</v>
      </c>
      <c r="C7" s="162" t="s">
        <v>43</v>
      </c>
      <c r="D7" s="228" t="str">
        <f>'COMPOSIÇÕES (2)'!B151</f>
        <v>ADMINISTRATIVO LOCAL</v>
      </c>
      <c r="E7" s="162" t="s">
        <v>77</v>
      </c>
      <c r="F7" s="164">
        <f>'Memória de cálculo'!I8</f>
        <v>1</v>
      </c>
      <c r="G7" s="173">
        <f>J7*1.285</f>
        <v>6799.71</v>
      </c>
      <c r="H7" s="165">
        <f>ROUND(F7*G7,2)</f>
        <v>6799.71</v>
      </c>
      <c r="I7" s="13"/>
      <c r="J7" s="43">
        <f>'COMPOSIÇÕES (2)'!F154</f>
        <v>5291.6</v>
      </c>
      <c r="K7" s="13"/>
      <c r="L7" s="13"/>
      <c r="M7" s="13"/>
      <c r="N7" s="13"/>
      <c r="O7" s="13"/>
      <c r="P7" s="13"/>
      <c r="Q7" s="13"/>
      <c r="R7" s="13"/>
      <c r="S7" s="13"/>
      <c r="T7" s="13"/>
      <c r="U7" s="13"/>
      <c r="V7" s="13"/>
      <c r="W7" s="13"/>
      <c r="X7" s="13"/>
      <c r="Y7" s="13"/>
      <c r="Z7" s="13"/>
      <c r="AA7" s="13"/>
      <c r="AB7" s="13"/>
      <c r="AC7" s="13"/>
    </row>
    <row r="8" spans="1:29" s="4" customFormat="1" x14ac:dyDescent="0.25">
      <c r="A8" s="162"/>
      <c r="B8" s="163"/>
      <c r="C8" s="162"/>
      <c r="D8" s="166" t="s">
        <v>29</v>
      </c>
      <c r="E8" s="167"/>
      <c r="F8" s="168"/>
      <c r="G8" s="165"/>
      <c r="H8" s="141">
        <f>SUM(H7:H7)</f>
        <v>6799.71</v>
      </c>
      <c r="I8" s="13"/>
      <c r="J8" s="44"/>
      <c r="K8" s="13"/>
      <c r="L8" s="13"/>
      <c r="M8" s="13"/>
      <c r="N8" s="13"/>
      <c r="O8" s="13"/>
      <c r="P8" s="13"/>
      <c r="Q8" s="13"/>
      <c r="R8" s="13"/>
      <c r="S8" s="13"/>
      <c r="T8" s="13"/>
      <c r="U8" s="13"/>
      <c r="V8" s="13"/>
      <c r="W8" s="13"/>
      <c r="X8" s="13"/>
      <c r="Y8" s="13"/>
      <c r="Z8" s="13"/>
      <c r="AA8" s="13"/>
      <c r="AB8" s="13"/>
      <c r="AC8" s="13"/>
    </row>
    <row r="9" spans="1:29" s="4" customFormat="1" x14ac:dyDescent="0.25">
      <c r="A9" s="156"/>
      <c r="B9" s="156"/>
      <c r="C9" s="157" t="s">
        <v>44</v>
      </c>
      <c r="D9" s="158" t="s">
        <v>4</v>
      </c>
      <c r="E9" s="156"/>
      <c r="F9" s="169"/>
      <c r="G9" s="170"/>
      <c r="H9" s="171"/>
      <c r="I9" s="13"/>
      <c r="J9" s="42"/>
      <c r="K9" s="13"/>
      <c r="L9" s="13"/>
      <c r="M9" s="13"/>
      <c r="N9" s="13"/>
      <c r="O9" s="13"/>
      <c r="P9" s="13"/>
      <c r="Q9" s="13"/>
      <c r="R9" s="13"/>
      <c r="S9" s="13"/>
      <c r="T9" s="13"/>
      <c r="U9" s="13"/>
      <c r="V9" s="13"/>
      <c r="W9" s="13"/>
      <c r="X9" s="13"/>
      <c r="Y9" s="13"/>
      <c r="Z9" s="13"/>
      <c r="AA9" s="13"/>
      <c r="AB9" s="13"/>
      <c r="AC9" s="13"/>
    </row>
    <row r="10" spans="1:29" s="4" customFormat="1" ht="55.5" customHeight="1" x14ac:dyDescent="0.25">
      <c r="A10" s="162" t="s">
        <v>26</v>
      </c>
      <c r="B10" s="163" t="s">
        <v>69</v>
      </c>
      <c r="C10" s="162" t="s">
        <v>45</v>
      </c>
      <c r="D10" s="304" t="s">
        <v>68</v>
      </c>
      <c r="E10" s="162" t="s">
        <v>85</v>
      </c>
      <c r="F10" s="164">
        <f>'Memória de cálculo'!I14</f>
        <v>4.7300000000000004</v>
      </c>
      <c r="G10" s="165">
        <f>J10*1.285</f>
        <v>215.35</v>
      </c>
      <c r="H10" s="165">
        <f t="shared" ref="H10:H13" si="0">ROUND(F10*G10,2)</f>
        <v>1018.61</v>
      </c>
      <c r="I10" s="13"/>
      <c r="J10" s="43">
        <v>167.59</v>
      </c>
      <c r="K10" s="13"/>
      <c r="L10" s="13"/>
      <c r="M10" s="13"/>
      <c r="N10" s="13"/>
      <c r="O10" s="13"/>
      <c r="P10" s="13"/>
      <c r="Q10" s="13"/>
      <c r="R10" s="13"/>
      <c r="S10" s="13"/>
      <c r="T10" s="13"/>
      <c r="U10" s="13"/>
      <c r="V10" s="13"/>
      <c r="W10" s="13"/>
      <c r="X10" s="13"/>
      <c r="Y10" s="13"/>
      <c r="Z10" s="13"/>
      <c r="AA10" s="13"/>
      <c r="AB10" s="13"/>
      <c r="AC10" s="13"/>
    </row>
    <row r="11" spans="1:29" s="4" customFormat="1" ht="55.5" customHeight="1" x14ac:dyDescent="0.25">
      <c r="A11" s="162" t="s">
        <v>26</v>
      </c>
      <c r="B11" s="163" t="s">
        <v>173</v>
      </c>
      <c r="C11" s="162" t="s">
        <v>72</v>
      </c>
      <c r="D11" s="304" t="s">
        <v>174</v>
      </c>
      <c r="E11" s="162" t="s">
        <v>86</v>
      </c>
      <c r="F11" s="164">
        <f>'Memória de cálculo'!I16</f>
        <v>4.91</v>
      </c>
      <c r="G11" s="165">
        <f>J11*1.285</f>
        <v>13.39</v>
      </c>
      <c r="H11" s="165">
        <f t="shared" si="0"/>
        <v>65.739999999999995</v>
      </c>
      <c r="I11" s="13"/>
      <c r="J11" s="43">
        <v>10.42</v>
      </c>
      <c r="K11" s="13"/>
      <c r="L11" s="13"/>
      <c r="M11" s="13"/>
      <c r="N11" s="13"/>
      <c r="O11" s="13"/>
      <c r="P11" s="13"/>
      <c r="Q11" s="13"/>
      <c r="R11" s="13"/>
      <c r="S11" s="13"/>
      <c r="T11" s="13"/>
      <c r="U11" s="13"/>
      <c r="V11" s="13"/>
      <c r="W11" s="13"/>
      <c r="X11" s="13"/>
      <c r="Y11" s="13"/>
      <c r="Z11" s="13"/>
      <c r="AA11" s="13"/>
      <c r="AB11" s="13"/>
      <c r="AC11" s="13"/>
    </row>
    <row r="12" spans="1:29" s="4" customFormat="1" ht="34.5" customHeight="1" x14ac:dyDescent="0.25">
      <c r="A12" s="162" t="s">
        <v>26</v>
      </c>
      <c r="B12" s="163" t="s">
        <v>241</v>
      </c>
      <c r="C12" s="162" t="s">
        <v>73</v>
      </c>
      <c r="D12" s="304" t="s">
        <v>240</v>
      </c>
      <c r="E12" s="162" t="s">
        <v>85</v>
      </c>
      <c r="F12" s="164">
        <f>'Memória de cálculo'!I19</f>
        <v>5.47</v>
      </c>
      <c r="G12" s="165">
        <f t="shared" ref="G12:G13" si="1">J12*1.285</f>
        <v>4.8099999999999996</v>
      </c>
      <c r="H12" s="165">
        <f t="shared" si="0"/>
        <v>26.31</v>
      </c>
      <c r="I12" s="13"/>
      <c r="J12" s="43">
        <v>3.74</v>
      </c>
      <c r="K12" s="13"/>
      <c r="L12" s="13"/>
      <c r="M12" s="13"/>
      <c r="N12" s="13"/>
      <c r="O12" s="13"/>
      <c r="P12" s="13"/>
      <c r="Q12" s="13"/>
      <c r="R12" s="13"/>
      <c r="S12" s="13"/>
      <c r="T12" s="13"/>
      <c r="U12" s="13"/>
      <c r="V12" s="13"/>
      <c r="W12" s="13"/>
      <c r="X12" s="13"/>
      <c r="Y12" s="13"/>
      <c r="Z12" s="13"/>
      <c r="AA12" s="13"/>
      <c r="AB12" s="13"/>
      <c r="AC12" s="13"/>
    </row>
    <row r="13" spans="1:29" s="4" customFormat="1" ht="49.5" customHeight="1" x14ac:dyDescent="0.25">
      <c r="A13" s="162" t="s">
        <v>26</v>
      </c>
      <c r="B13" s="163" t="s">
        <v>244</v>
      </c>
      <c r="C13" s="162" t="s">
        <v>242</v>
      </c>
      <c r="D13" s="304" t="s">
        <v>243</v>
      </c>
      <c r="E13" s="162" t="s">
        <v>85</v>
      </c>
      <c r="F13" s="164">
        <f>'Memória de cálculo'!I21</f>
        <v>4.7300000000000004</v>
      </c>
      <c r="G13" s="165">
        <f t="shared" si="1"/>
        <v>7.61</v>
      </c>
      <c r="H13" s="165">
        <f t="shared" si="0"/>
        <v>36</v>
      </c>
      <c r="I13" s="13"/>
      <c r="J13" s="43">
        <v>5.92</v>
      </c>
      <c r="K13" s="13"/>
      <c r="L13" s="13"/>
      <c r="M13" s="13"/>
      <c r="N13" s="13"/>
      <c r="O13" s="13"/>
      <c r="P13" s="13"/>
      <c r="Q13" s="13"/>
      <c r="R13" s="13"/>
      <c r="S13" s="13"/>
      <c r="T13" s="13"/>
      <c r="U13" s="13"/>
      <c r="V13" s="13"/>
      <c r="W13" s="13"/>
      <c r="X13" s="13"/>
      <c r="Y13" s="13"/>
      <c r="Z13" s="13"/>
      <c r="AA13" s="13"/>
      <c r="AB13" s="13"/>
      <c r="AC13" s="13"/>
    </row>
    <row r="14" spans="1:29" s="4" customFormat="1" x14ac:dyDescent="0.25">
      <c r="A14" s="162"/>
      <c r="B14" s="163"/>
      <c r="C14" s="162"/>
      <c r="D14" s="166" t="s">
        <v>29</v>
      </c>
      <c r="E14" s="167"/>
      <c r="F14" s="168"/>
      <c r="G14" s="165"/>
      <c r="H14" s="141">
        <f>SUM(H10:H13)</f>
        <v>1146.6600000000001</v>
      </c>
      <c r="I14" s="13"/>
      <c r="J14" s="44"/>
      <c r="K14" s="13"/>
      <c r="L14" s="13"/>
      <c r="M14" s="13"/>
      <c r="N14" s="13"/>
      <c r="O14" s="13"/>
      <c r="P14" s="13"/>
      <c r="Q14" s="13"/>
      <c r="R14" s="13"/>
      <c r="S14" s="13"/>
      <c r="T14" s="13"/>
      <c r="U14" s="13"/>
      <c r="V14" s="13"/>
      <c r="W14" s="13"/>
      <c r="X14" s="13"/>
      <c r="Y14" s="13"/>
      <c r="Z14" s="13"/>
      <c r="AA14" s="13"/>
      <c r="AB14" s="13"/>
      <c r="AC14" s="13"/>
    </row>
    <row r="15" spans="1:29" s="4" customFormat="1" x14ac:dyDescent="0.25">
      <c r="A15" s="156"/>
      <c r="B15" s="156"/>
      <c r="C15" s="157" t="s">
        <v>46</v>
      </c>
      <c r="D15" s="158" t="s">
        <v>25</v>
      </c>
      <c r="E15" s="156"/>
      <c r="F15" s="169"/>
      <c r="G15" s="170"/>
      <c r="H15" s="171"/>
      <c r="I15" s="13"/>
      <c r="J15" s="42"/>
      <c r="K15" s="13"/>
      <c r="L15" s="13"/>
      <c r="M15" s="13"/>
      <c r="N15" s="13"/>
      <c r="O15" s="13"/>
      <c r="P15" s="13"/>
      <c r="Q15" s="13"/>
      <c r="R15" s="13"/>
      <c r="S15" s="13"/>
      <c r="T15" s="13"/>
      <c r="U15" s="13"/>
      <c r="V15" s="13"/>
      <c r="W15" s="13"/>
      <c r="X15" s="13"/>
      <c r="Y15" s="13"/>
      <c r="Z15" s="13"/>
      <c r="AA15" s="13"/>
      <c r="AB15" s="13"/>
      <c r="AC15" s="13"/>
    </row>
    <row r="16" spans="1:29" s="4" customFormat="1" ht="21.6" x14ac:dyDescent="0.25">
      <c r="A16" s="162" t="s">
        <v>26</v>
      </c>
      <c r="B16" s="163" t="s">
        <v>76</v>
      </c>
      <c r="C16" s="162" t="s">
        <v>47</v>
      </c>
      <c r="D16" s="304" t="s">
        <v>75</v>
      </c>
      <c r="E16" s="162" t="s">
        <v>86</v>
      </c>
      <c r="F16" s="164">
        <f>'Memória de cálculo'!I24</f>
        <v>10</v>
      </c>
      <c r="G16" s="165">
        <f>J16*1.285</f>
        <v>349.06</v>
      </c>
      <c r="H16" s="165">
        <f>ROUND(F16*G16,2)</f>
        <v>3490.6</v>
      </c>
      <c r="I16" s="13"/>
      <c r="J16" s="43">
        <v>271.64</v>
      </c>
      <c r="K16" s="13"/>
      <c r="L16" s="13"/>
      <c r="M16" s="13"/>
      <c r="N16" s="13"/>
      <c r="O16" s="13"/>
      <c r="P16" s="13"/>
      <c r="Q16" s="13"/>
      <c r="R16" s="13"/>
      <c r="S16" s="13"/>
      <c r="T16" s="13"/>
      <c r="U16" s="13"/>
      <c r="V16" s="13"/>
      <c r="W16" s="13"/>
      <c r="X16" s="13"/>
      <c r="Y16" s="13"/>
      <c r="Z16" s="13"/>
      <c r="AA16" s="13"/>
      <c r="AB16" s="13"/>
      <c r="AC16" s="13"/>
    </row>
    <row r="17" spans="1:29" s="4" customFormat="1" ht="32.4" x14ac:dyDescent="0.25">
      <c r="A17" s="305" t="s">
        <v>26</v>
      </c>
      <c r="B17" s="163" t="s">
        <v>236</v>
      </c>
      <c r="C17" s="162" t="s">
        <v>48</v>
      </c>
      <c r="D17" s="304" t="s">
        <v>235</v>
      </c>
      <c r="E17" s="162" t="s">
        <v>237</v>
      </c>
      <c r="F17" s="164">
        <f>'Memória de cálculo'!I26</f>
        <v>4</v>
      </c>
      <c r="G17" s="165">
        <f t="shared" ref="G17:G21" si="2">J17*1.285</f>
        <v>648.92999999999995</v>
      </c>
      <c r="H17" s="165">
        <f t="shared" ref="H17:H21" si="3">ROUND(F17*G17,2)</f>
        <v>2595.7199999999998</v>
      </c>
      <c r="I17" s="13"/>
      <c r="J17" s="43">
        <v>505</v>
      </c>
      <c r="K17" s="13"/>
      <c r="L17" s="13"/>
      <c r="M17" s="13"/>
      <c r="N17" s="13"/>
      <c r="O17" s="13"/>
      <c r="P17" s="13"/>
      <c r="Q17" s="13"/>
      <c r="R17" s="13"/>
      <c r="S17" s="13"/>
      <c r="T17" s="13"/>
      <c r="U17" s="13"/>
      <c r="V17" s="13"/>
      <c r="W17" s="13"/>
      <c r="X17" s="13"/>
      <c r="Y17" s="13"/>
      <c r="Z17" s="13"/>
      <c r="AA17" s="13"/>
      <c r="AB17" s="13"/>
      <c r="AC17" s="13"/>
    </row>
    <row r="18" spans="1:29" s="4" customFormat="1" ht="21.6" x14ac:dyDescent="0.25">
      <c r="A18" s="162" t="s">
        <v>26</v>
      </c>
      <c r="B18" s="163" t="s">
        <v>81</v>
      </c>
      <c r="C18" s="162" t="s">
        <v>49</v>
      </c>
      <c r="D18" s="304" t="s">
        <v>80</v>
      </c>
      <c r="E18" s="162" t="s">
        <v>77</v>
      </c>
      <c r="F18" s="164">
        <f>'Memória de cálculo'!I28</f>
        <v>1</v>
      </c>
      <c r="G18" s="165">
        <f>J18*1.285</f>
        <v>1626.53</v>
      </c>
      <c r="H18" s="165">
        <f>ROUND(F18*G18,2)</f>
        <v>1626.53</v>
      </c>
      <c r="I18" s="13"/>
      <c r="J18" s="43">
        <v>1265.78</v>
      </c>
      <c r="K18" s="13"/>
      <c r="L18" s="13"/>
      <c r="M18" s="13"/>
      <c r="N18" s="13"/>
      <c r="O18" s="13"/>
      <c r="P18" s="13"/>
      <c r="Q18" s="13"/>
      <c r="R18" s="13"/>
      <c r="S18" s="13"/>
      <c r="T18" s="13"/>
      <c r="U18" s="13"/>
      <c r="V18" s="13"/>
      <c r="W18" s="13"/>
      <c r="X18" s="13"/>
      <c r="Y18" s="13"/>
      <c r="Z18" s="13"/>
      <c r="AA18" s="13"/>
      <c r="AB18" s="13"/>
      <c r="AC18" s="13"/>
    </row>
    <row r="19" spans="1:29" s="4" customFormat="1" ht="53.25" customHeight="1" x14ac:dyDescent="0.25">
      <c r="A19" s="162" t="s">
        <v>26</v>
      </c>
      <c r="B19" s="163" t="s">
        <v>246</v>
      </c>
      <c r="C19" s="162" t="s">
        <v>50</v>
      </c>
      <c r="D19" s="304" t="s">
        <v>245</v>
      </c>
      <c r="E19" s="162" t="s">
        <v>77</v>
      </c>
      <c r="F19" s="164">
        <f>'Memória de cálculo'!I30</f>
        <v>1</v>
      </c>
      <c r="G19" s="165">
        <f t="shared" si="2"/>
        <v>121.15</v>
      </c>
      <c r="H19" s="165">
        <f t="shared" si="3"/>
        <v>121.15</v>
      </c>
      <c r="I19" s="13"/>
      <c r="J19" s="43">
        <v>94.28</v>
      </c>
      <c r="K19" s="13"/>
      <c r="L19" s="13"/>
      <c r="M19" s="13"/>
      <c r="N19" s="13"/>
      <c r="O19" s="13"/>
      <c r="P19" s="13"/>
      <c r="Q19" s="13"/>
      <c r="R19" s="13"/>
      <c r="S19" s="13"/>
      <c r="T19" s="13"/>
      <c r="U19" s="13"/>
      <c r="V19" s="13"/>
      <c r="W19" s="13"/>
      <c r="X19" s="13"/>
      <c r="Y19" s="13"/>
      <c r="Z19" s="13"/>
      <c r="AA19" s="13"/>
      <c r="AB19" s="13"/>
      <c r="AC19" s="13"/>
    </row>
    <row r="20" spans="1:29" s="4" customFormat="1" ht="33.75" customHeight="1" x14ac:dyDescent="0.25">
      <c r="A20" s="162" t="s">
        <v>26</v>
      </c>
      <c r="B20" s="163" t="s">
        <v>248</v>
      </c>
      <c r="C20" s="162" t="s">
        <v>51</v>
      </c>
      <c r="D20" s="304" t="s">
        <v>247</v>
      </c>
      <c r="E20" s="162" t="s">
        <v>77</v>
      </c>
      <c r="F20" s="164">
        <f>'Memória de cálculo'!I32</f>
        <v>1</v>
      </c>
      <c r="G20" s="165">
        <f t="shared" si="2"/>
        <v>128.94</v>
      </c>
      <c r="H20" s="165">
        <f t="shared" si="3"/>
        <v>128.94</v>
      </c>
      <c r="I20" s="13"/>
      <c r="J20" s="43">
        <v>100.34</v>
      </c>
      <c r="K20" s="13"/>
      <c r="L20" s="13"/>
      <c r="M20" s="13"/>
      <c r="N20" s="13"/>
      <c r="O20" s="13"/>
      <c r="P20" s="13"/>
      <c r="Q20" s="13"/>
      <c r="R20" s="13"/>
      <c r="S20" s="13"/>
      <c r="T20" s="13"/>
      <c r="U20" s="13"/>
      <c r="V20" s="13"/>
      <c r="W20" s="13"/>
      <c r="X20" s="13"/>
      <c r="Y20" s="13"/>
      <c r="Z20" s="13"/>
      <c r="AA20" s="13"/>
      <c r="AB20" s="13"/>
      <c r="AC20" s="13"/>
    </row>
    <row r="21" spans="1:29" s="4" customFormat="1" ht="32.4" x14ac:dyDescent="0.25">
      <c r="A21" s="162" t="s">
        <v>26</v>
      </c>
      <c r="B21" s="163" t="s">
        <v>79</v>
      </c>
      <c r="C21" s="162" t="s">
        <v>52</v>
      </c>
      <c r="D21" s="304" t="s">
        <v>78</v>
      </c>
      <c r="E21" s="162" t="s">
        <v>86</v>
      </c>
      <c r="F21" s="164">
        <f>'Memória de cálculo'!I34</f>
        <v>13.64</v>
      </c>
      <c r="G21" s="165">
        <f t="shared" si="2"/>
        <v>238.21</v>
      </c>
      <c r="H21" s="165">
        <f t="shared" si="3"/>
        <v>3249.18</v>
      </c>
      <c r="I21" s="13"/>
      <c r="J21" s="43">
        <v>185.38</v>
      </c>
      <c r="K21" s="13"/>
      <c r="L21" s="13"/>
      <c r="M21" s="13"/>
      <c r="N21" s="13"/>
      <c r="O21" s="13"/>
      <c r="P21" s="13"/>
      <c r="Q21" s="13"/>
      <c r="R21" s="13"/>
      <c r="S21" s="13"/>
      <c r="T21" s="13"/>
      <c r="U21" s="13"/>
      <c r="V21" s="13"/>
      <c r="W21" s="13"/>
      <c r="X21" s="13"/>
      <c r="Y21" s="13"/>
      <c r="Z21" s="13"/>
      <c r="AA21" s="13"/>
      <c r="AB21" s="13"/>
      <c r="AC21" s="13"/>
    </row>
    <row r="22" spans="1:29" s="4" customFormat="1" x14ac:dyDescent="0.25">
      <c r="A22" s="167"/>
      <c r="B22" s="167"/>
      <c r="C22" s="167"/>
      <c r="D22" s="166" t="s">
        <v>29</v>
      </c>
      <c r="E22" s="167"/>
      <c r="F22" s="168"/>
      <c r="G22" s="165"/>
      <c r="H22" s="141">
        <f>SUM(H16:H21)</f>
        <v>11212.12</v>
      </c>
      <c r="I22" s="13"/>
      <c r="J22" s="44"/>
      <c r="K22" s="13"/>
      <c r="L22" s="13"/>
      <c r="M22" s="13"/>
      <c r="N22" s="13"/>
      <c r="O22" s="13"/>
      <c r="P22" s="13"/>
      <c r="Q22" s="13"/>
      <c r="R22" s="13"/>
      <c r="S22" s="13"/>
      <c r="T22" s="13"/>
      <c r="U22" s="13"/>
      <c r="V22" s="13"/>
      <c r="W22" s="13"/>
      <c r="X22" s="13"/>
      <c r="Y22" s="13"/>
      <c r="Z22" s="13"/>
      <c r="AA22" s="13"/>
      <c r="AB22" s="13"/>
      <c r="AC22" s="13"/>
    </row>
    <row r="23" spans="1:29" s="8" customFormat="1" x14ac:dyDescent="0.25">
      <c r="A23" s="156"/>
      <c r="B23" s="156"/>
      <c r="C23" s="157" t="s">
        <v>53</v>
      </c>
      <c r="D23" s="158" t="s">
        <v>82</v>
      </c>
      <c r="E23" s="156"/>
      <c r="F23" s="169"/>
      <c r="G23" s="170"/>
      <c r="H23" s="171"/>
      <c r="I23" s="10"/>
      <c r="J23" s="44"/>
      <c r="K23" s="10"/>
      <c r="L23" s="10"/>
      <c r="M23" s="10"/>
      <c r="N23" s="10"/>
      <c r="O23" s="10"/>
      <c r="P23" s="10"/>
      <c r="Q23" s="10"/>
      <c r="R23" s="10"/>
      <c r="S23" s="10"/>
      <c r="T23" s="10"/>
      <c r="U23" s="10"/>
      <c r="V23" s="10"/>
      <c r="W23" s="10"/>
      <c r="X23" s="10"/>
      <c r="Y23" s="10"/>
      <c r="Z23" s="10"/>
      <c r="AA23" s="10"/>
      <c r="AB23" s="10"/>
      <c r="AC23" s="10"/>
    </row>
    <row r="24" spans="1:29" s="8" customFormat="1" ht="39.75" customHeight="1" x14ac:dyDescent="0.25">
      <c r="A24" s="162" t="s">
        <v>238</v>
      </c>
      <c r="B24" s="162">
        <v>2</v>
      </c>
      <c r="C24" s="162" t="s">
        <v>54</v>
      </c>
      <c r="D24" s="172" t="str">
        <f>'COMPOSIÇÕES (2)'!B28</f>
        <v>FORNECIMENTO E INSTALAÇÃO DE VIGA METÁLICA INCLUSIVE ANCORAGEM (ITEM 2 - SUPORTE 2)</v>
      </c>
      <c r="E24" s="162" t="s">
        <v>77</v>
      </c>
      <c r="F24" s="164">
        <f>'Memória de cálculo'!I37</f>
        <v>4</v>
      </c>
      <c r="G24" s="165">
        <f>J24*1.285</f>
        <v>1618.61</v>
      </c>
      <c r="H24" s="165">
        <f t="shared" ref="H24:H26" si="4">G24*F24</f>
        <v>6474.44</v>
      </c>
      <c r="I24" s="10"/>
      <c r="J24" s="44">
        <f>'COMPOSIÇÕES (2)'!F38</f>
        <v>1259.6199999999999</v>
      </c>
      <c r="K24" s="10"/>
      <c r="L24" s="10"/>
      <c r="M24" s="10"/>
      <c r="N24" s="10"/>
      <c r="O24" s="10"/>
      <c r="P24" s="10"/>
      <c r="Q24" s="10"/>
      <c r="R24" s="10"/>
      <c r="S24" s="10"/>
      <c r="T24" s="10"/>
      <c r="U24" s="10"/>
      <c r="V24" s="10"/>
      <c r="W24" s="10"/>
      <c r="X24" s="10"/>
      <c r="Y24" s="10"/>
      <c r="Z24" s="10"/>
      <c r="AA24" s="10"/>
      <c r="AB24" s="10"/>
      <c r="AC24" s="10"/>
    </row>
    <row r="25" spans="1:29" s="8" customFormat="1" ht="45" customHeight="1" x14ac:dyDescent="0.25">
      <c r="A25" s="162" t="s">
        <v>238</v>
      </c>
      <c r="B25" s="162">
        <v>3</v>
      </c>
      <c r="C25" s="162" t="s">
        <v>35</v>
      </c>
      <c r="D25" s="172" t="str">
        <f>'COMPOSIÇÕES (2)'!B53</f>
        <v>FORNECIMENTO E INSTALAÇÃO DE VIGA METÁLICA INCLUSIVE ANCORAGEM (ITEM 3 - SUPORTE 3)</v>
      </c>
      <c r="E25" s="162" t="s">
        <v>77</v>
      </c>
      <c r="F25" s="164">
        <f>'Memória de cálculo'!I39</f>
        <v>9</v>
      </c>
      <c r="G25" s="165">
        <f>J25*1.285</f>
        <v>2383.5100000000002</v>
      </c>
      <c r="H25" s="165">
        <f t="shared" si="4"/>
        <v>21451.59</v>
      </c>
      <c r="I25" s="10"/>
      <c r="J25" s="44">
        <f>'COMPOSIÇÕES (2)'!F63</f>
        <v>1854.87</v>
      </c>
      <c r="K25" s="10"/>
      <c r="L25" s="10"/>
      <c r="M25" s="10"/>
      <c r="N25" s="10"/>
      <c r="O25" s="10"/>
      <c r="P25" s="10"/>
      <c r="Q25" s="10"/>
      <c r="R25" s="10"/>
      <c r="S25" s="10"/>
      <c r="T25" s="10"/>
      <c r="U25" s="10"/>
      <c r="V25" s="10"/>
      <c r="W25" s="10"/>
      <c r="X25" s="10"/>
      <c r="Y25" s="10"/>
      <c r="Z25" s="10"/>
      <c r="AA25" s="10"/>
      <c r="AB25" s="10"/>
      <c r="AC25" s="10"/>
    </row>
    <row r="26" spans="1:29" s="8" customFormat="1" ht="35.25" customHeight="1" x14ac:dyDescent="0.25">
      <c r="A26" s="162" t="s">
        <v>238</v>
      </c>
      <c r="B26" s="162">
        <v>4</v>
      </c>
      <c r="C26" s="162" t="s">
        <v>55</v>
      </c>
      <c r="D26" s="172" t="str">
        <f>'COMPOSIÇÕES (2)'!B80</f>
        <v>FORNECIMENTO E INSTALAÇÃO DE PLATAFORMA METÁLICA (ITEM 4 - PLATAFORMA)</v>
      </c>
      <c r="E26" s="162" t="s">
        <v>77</v>
      </c>
      <c r="F26" s="164">
        <v>1</v>
      </c>
      <c r="G26" s="165">
        <f>J26*1.285</f>
        <v>26900.94</v>
      </c>
      <c r="H26" s="165">
        <f t="shared" si="4"/>
        <v>26900.94</v>
      </c>
      <c r="I26" s="10"/>
      <c r="J26" s="44">
        <f>'COMPOSIÇÕES (2)'!F88</f>
        <v>20934.580000000002</v>
      </c>
      <c r="K26" s="10"/>
      <c r="L26" s="10"/>
      <c r="M26" s="10"/>
      <c r="N26" s="10"/>
      <c r="O26" s="10"/>
      <c r="P26" s="10"/>
      <c r="Q26" s="10"/>
      <c r="R26" s="10"/>
      <c r="S26" s="10"/>
      <c r="T26" s="10"/>
      <c r="U26" s="10"/>
      <c r="V26" s="10"/>
      <c r="W26" s="10"/>
      <c r="X26" s="10"/>
      <c r="Y26" s="10"/>
      <c r="Z26" s="10"/>
      <c r="AA26" s="10"/>
      <c r="AB26" s="10"/>
      <c r="AC26" s="10"/>
    </row>
    <row r="27" spans="1:29" s="8" customFormat="1" ht="67.2" customHeight="1" x14ac:dyDescent="0.25">
      <c r="A27" s="162" t="s">
        <v>26</v>
      </c>
      <c r="B27" s="162">
        <v>93402</v>
      </c>
      <c r="C27" s="162" t="s">
        <v>160</v>
      </c>
      <c r="D27" s="172" t="s">
        <v>168</v>
      </c>
      <c r="E27" s="162" t="s">
        <v>169</v>
      </c>
      <c r="F27" s="164">
        <f>'Memória de cálculo'!I43</f>
        <v>24</v>
      </c>
      <c r="G27" s="165">
        <f t="shared" ref="G27" si="5">J27*1.285</f>
        <v>179.12</v>
      </c>
      <c r="H27" s="165">
        <f>G27*F27</f>
        <v>4298.88</v>
      </c>
      <c r="I27" s="10"/>
      <c r="J27" s="44">
        <v>139.38999999999999</v>
      </c>
      <c r="K27" s="10"/>
      <c r="L27" s="10"/>
      <c r="M27" s="10"/>
      <c r="N27" s="10"/>
      <c r="O27" s="10"/>
      <c r="P27" s="10"/>
      <c r="Q27" s="10"/>
      <c r="R27" s="10"/>
      <c r="S27" s="10"/>
      <c r="T27" s="10"/>
      <c r="U27" s="10"/>
      <c r="V27" s="10"/>
      <c r="W27" s="10"/>
      <c r="X27" s="10"/>
      <c r="Y27" s="10"/>
      <c r="Z27" s="10"/>
      <c r="AA27" s="10"/>
      <c r="AB27" s="10"/>
      <c r="AC27" s="10"/>
    </row>
    <row r="28" spans="1:29" s="8" customFormat="1" x14ac:dyDescent="0.25">
      <c r="A28" s="162"/>
      <c r="B28" s="162"/>
      <c r="C28" s="162"/>
      <c r="D28" s="166" t="s">
        <v>29</v>
      </c>
      <c r="E28" s="162"/>
      <c r="F28" s="164"/>
      <c r="G28" s="165"/>
      <c r="H28" s="141">
        <f>SUM(H24:H27)</f>
        <v>59125.85</v>
      </c>
      <c r="I28" s="10"/>
      <c r="J28" s="44"/>
      <c r="K28" s="10"/>
      <c r="L28" s="10"/>
      <c r="M28" s="10"/>
      <c r="N28" s="10"/>
      <c r="O28" s="10"/>
      <c r="P28" s="10"/>
      <c r="Q28" s="10"/>
      <c r="R28" s="10"/>
      <c r="S28" s="10"/>
      <c r="T28" s="10"/>
      <c r="U28" s="10"/>
      <c r="V28" s="10"/>
      <c r="W28" s="10"/>
      <c r="X28" s="10"/>
      <c r="Y28" s="10"/>
      <c r="Z28" s="10"/>
      <c r="AA28" s="10"/>
      <c r="AB28" s="10"/>
      <c r="AC28" s="10"/>
    </row>
    <row r="29" spans="1:29" s="8" customFormat="1" x14ac:dyDescent="0.25">
      <c r="A29" s="156"/>
      <c r="B29" s="156"/>
      <c r="C29" s="157" t="s">
        <v>56</v>
      </c>
      <c r="D29" s="158" t="s">
        <v>83</v>
      </c>
      <c r="E29" s="156"/>
      <c r="F29" s="169"/>
      <c r="G29" s="170"/>
      <c r="H29" s="171"/>
      <c r="I29" s="10"/>
      <c r="J29" s="44"/>
      <c r="K29" s="10"/>
      <c r="L29" s="10"/>
      <c r="M29" s="10"/>
      <c r="N29" s="10"/>
      <c r="O29" s="10"/>
      <c r="P29" s="10"/>
      <c r="Q29" s="10"/>
      <c r="R29" s="10"/>
      <c r="S29" s="10"/>
      <c r="T29" s="10"/>
      <c r="U29" s="10"/>
      <c r="V29" s="10"/>
      <c r="W29" s="10"/>
      <c r="X29" s="10"/>
      <c r="Y29" s="10"/>
      <c r="Z29" s="10"/>
      <c r="AA29" s="10"/>
      <c r="AB29" s="10"/>
      <c r="AC29" s="10"/>
    </row>
    <row r="30" spans="1:29" s="8" customFormat="1" ht="21.6" x14ac:dyDescent="0.25">
      <c r="A30" s="162" t="s">
        <v>238</v>
      </c>
      <c r="B30" s="162">
        <v>1</v>
      </c>
      <c r="C30" s="162" t="s">
        <v>57</v>
      </c>
      <c r="D30" s="172" t="str">
        <f>'COMPOSIÇÕES (2)'!B2</f>
        <v>FORNECIMENTO E INSTALAÇÃO DE PILAR METÁLICO INCLUSIVE ANCORAGEM (ITEM 1 - SUPORTE 1)</v>
      </c>
      <c r="E30" s="162" t="s">
        <v>77</v>
      </c>
      <c r="F30" s="164">
        <f>'Memória de cálculo'!I46</f>
        <v>7</v>
      </c>
      <c r="G30" s="165">
        <f t="shared" ref="G30:G31" si="6">J30*1.285</f>
        <v>3788.28</v>
      </c>
      <c r="H30" s="165">
        <f t="shared" ref="H30:H35" si="7">G30*F30</f>
        <v>26517.96</v>
      </c>
      <c r="I30" s="10"/>
      <c r="J30" s="44">
        <f>'COMPOSIÇÕES (2)'!F11</f>
        <v>2948.08</v>
      </c>
      <c r="K30" s="10"/>
      <c r="L30" s="10"/>
      <c r="M30" s="10"/>
      <c r="N30" s="10"/>
      <c r="O30" s="10"/>
      <c r="P30" s="10"/>
      <c r="Q30" s="10"/>
      <c r="R30" s="10"/>
      <c r="S30" s="10"/>
      <c r="T30" s="10"/>
      <c r="U30" s="10"/>
      <c r="V30" s="10"/>
      <c r="W30" s="10"/>
      <c r="X30" s="10"/>
      <c r="Y30" s="10"/>
      <c r="Z30" s="10"/>
      <c r="AA30" s="10"/>
      <c r="AB30" s="10"/>
      <c r="AC30" s="10"/>
    </row>
    <row r="31" spans="1:29" s="8" customFormat="1" ht="25.2" customHeight="1" x14ac:dyDescent="0.25">
      <c r="A31" s="162" t="s">
        <v>238</v>
      </c>
      <c r="B31" s="162">
        <v>5</v>
      </c>
      <c r="C31" s="162" t="s">
        <v>58</v>
      </c>
      <c r="D31" s="172" t="str">
        <f>'COMPOSIÇÕES (2)'!B101</f>
        <v>FORNECIMENTO E INSTALAÇÃO DE TERÇAS PARA COBERTURA (ITEM 7 - TERÇA)</v>
      </c>
      <c r="E31" s="162" t="s">
        <v>77</v>
      </c>
      <c r="F31" s="164">
        <f>'Memória de cálculo'!I48</f>
        <v>7</v>
      </c>
      <c r="G31" s="165">
        <f t="shared" si="6"/>
        <v>1034.01</v>
      </c>
      <c r="H31" s="165">
        <f t="shared" si="7"/>
        <v>7238.07</v>
      </c>
      <c r="I31" s="10"/>
      <c r="J31" s="44">
        <f>'COMPOSIÇÕES (2)'!F106</f>
        <v>804.68</v>
      </c>
      <c r="K31" s="10"/>
      <c r="L31" s="10"/>
      <c r="M31" s="10"/>
      <c r="N31" s="10"/>
      <c r="O31" s="10"/>
      <c r="P31" s="10"/>
      <c r="Q31" s="10"/>
      <c r="R31" s="10"/>
      <c r="S31" s="10"/>
      <c r="T31" s="10"/>
      <c r="U31" s="10"/>
      <c r="V31" s="10"/>
      <c r="W31" s="10"/>
      <c r="X31" s="10"/>
      <c r="Y31" s="10"/>
      <c r="Z31" s="10"/>
      <c r="AA31" s="10"/>
      <c r="AB31" s="10"/>
      <c r="AC31" s="10"/>
    </row>
    <row r="32" spans="1:29" s="8" customFormat="1" ht="57" customHeight="1" x14ac:dyDescent="0.25">
      <c r="A32" s="162" t="s">
        <v>26</v>
      </c>
      <c r="B32" s="162">
        <v>92580</v>
      </c>
      <c r="C32" s="162" t="s">
        <v>59</v>
      </c>
      <c r="D32" s="172" t="s">
        <v>146</v>
      </c>
      <c r="E32" s="162" t="s">
        <v>86</v>
      </c>
      <c r="F32" s="164">
        <f>'Memória de cálculo'!I50</f>
        <v>63.55</v>
      </c>
      <c r="G32" s="165">
        <f>J32*1.285</f>
        <v>44.5</v>
      </c>
      <c r="H32" s="165">
        <f>G32*F32</f>
        <v>2827.98</v>
      </c>
      <c r="I32" s="10"/>
      <c r="J32" s="44">
        <v>34.630000000000003</v>
      </c>
      <c r="K32" s="10"/>
      <c r="L32" s="10"/>
      <c r="M32" s="10"/>
      <c r="N32" s="10"/>
      <c r="O32" s="10"/>
      <c r="P32" s="10"/>
      <c r="Q32" s="10"/>
      <c r="R32" s="10"/>
      <c r="S32" s="10"/>
      <c r="T32" s="10"/>
      <c r="U32" s="10"/>
      <c r="V32" s="10"/>
      <c r="W32" s="10"/>
      <c r="X32" s="10"/>
      <c r="Y32" s="10"/>
      <c r="Z32" s="10"/>
      <c r="AA32" s="10"/>
      <c r="AB32" s="10"/>
      <c r="AC32" s="10"/>
    </row>
    <row r="33" spans="1:29" s="8" customFormat="1" ht="36" customHeight="1" x14ac:dyDescent="0.25">
      <c r="A33" s="162" t="s">
        <v>26</v>
      </c>
      <c r="B33" s="162">
        <v>94216</v>
      </c>
      <c r="C33" s="162" t="s">
        <v>156</v>
      </c>
      <c r="D33" s="172" t="s">
        <v>148</v>
      </c>
      <c r="E33" s="162" t="s">
        <v>86</v>
      </c>
      <c r="F33" s="164">
        <f>'Memória de cálculo'!I52</f>
        <v>63.55</v>
      </c>
      <c r="G33" s="165">
        <f>J33*1.285</f>
        <v>292.98</v>
      </c>
      <c r="H33" s="165">
        <f>G33*F33</f>
        <v>18618.88</v>
      </c>
      <c r="I33" s="10"/>
      <c r="J33" s="44">
        <v>228</v>
      </c>
      <c r="K33" s="10"/>
      <c r="L33" s="10"/>
      <c r="M33" s="10"/>
      <c r="N33" s="10"/>
      <c r="O33" s="10"/>
      <c r="P33" s="10"/>
      <c r="Q33" s="10"/>
      <c r="R33" s="10"/>
      <c r="S33" s="10"/>
      <c r="T33" s="10"/>
      <c r="U33" s="10"/>
      <c r="V33" s="10"/>
      <c r="W33" s="10"/>
      <c r="X33" s="10"/>
      <c r="Y33" s="10"/>
      <c r="Z33" s="10"/>
      <c r="AA33" s="10"/>
      <c r="AB33" s="10"/>
      <c r="AC33" s="10"/>
    </row>
    <row r="34" spans="1:29" s="8" customFormat="1" ht="37.799999999999997" customHeight="1" x14ac:dyDescent="0.25">
      <c r="A34" s="162" t="s">
        <v>26</v>
      </c>
      <c r="B34" s="162">
        <v>94227</v>
      </c>
      <c r="C34" s="162" t="s">
        <v>158</v>
      </c>
      <c r="D34" s="172" t="s">
        <v>175</v>
      </c>
      <c r="E34" s="162" t="s">
        <v>87</v>
      </c>
      <c r="F34" s="164">
        <f>'Memória de cálculo'!I54</f>
        <v>1.88</v>
      </c>
      <c r="G34" s="165">
        <f t="shared" ref="G34:G35" si="8">J34*1.285</f>
        <v>47.88</v>
      </c>
      <c r="H34" s="165">
        <f t="shared" si="7"/>
        <v>90.01</v>
      </c>
      <c r="I34" s="10"/>
      <c r="J34" s="44">
        <v>37.26</v>
      </c>
      <c r="K34" s="10"/>
      <c r="L34" s="10"/>
      <c r="M34" s="10"/>
      <c r="N34" s="10"/>
      <c r="O34" s="10"/>
      <c r="P34" s="10"/>
      <c r="Q34" s="10"/>
      <c r="R34" s="10"/>
      <c r="S34" s="10"/>
      <c r="T34" s="10"/>
      <c r="U34" s="10"/>
      <c r="V34" s="10"/>
      <c r="W34" s="10"/>
      <c r="X34" s="10"/>
      <c r="Y34" s="10"/>
      <c r="Z34" s="10"/>
      <c r="AA34" s="10"/>
      <c r="AB34" s="10"/>
      <c r="AC34" s="10"/>
    </row>
    <row r="35" spans="1:29" s="8" customFormat="1" ht="32.4" x14ac:dyDescent="0.25">
      <c r="A35" s="162" t="s">
        <v>26</v>
      </c>
      <c r="B35" s="162" t="s">
        <v>210</v>
      </c>
      <c r="C35" s="162" t="s">
        <v>176</v>
      </c>
      <c r="D35" s="172" t="s">
        <v>209</v>
      </c>
      <c r="E35" s="162" t="s">
        <v>86</v>
      </c>
      <c r="F35" s="164">
        <f>'Memória de cálculo'!I56</f>
        <v>1.99</v>
      </c>
      <c r="G35" s="165">
        <f t="shared" si="8"/>
        <v>154.15</v>
      </c>
      <c r="H35" s="165">
        <f t="shared" si="7"/>
        <v>306.76</v>
      </c>
      <c r="I35" s="10"/>
      <c r="J35" s="44">
        <v>119.96</v>
      </c>
      <c r="K35" s="10"/>
      <c r="L35" s="10"/>
      <c r="M35" s="10"/>
      <c r="N35" s="10"/>
      <c r="O35" s="10"/>
      <c r="P35" s="10"/>
      <c r="Q35" s="10"/>
      <c r="R35" s="10"/>
      <c r="S35" s="10"/>
      <c r="T35" s="10"/>
      <c r="U35" s="10"/>
      <c r="V35" s="10"/>
      <c r="W35" s="10"/>
      <c r="X35" s="10"/>
      <c r="Y35" s="10"/>
      <c r="Z35" s="10"/>
      <c r="AA35" s="10"/>
      <c r="AB35" s="10"/>
      <c r="AC35" s="10"/>
    </row>
    <row r="36" spans="1:29" s="8" customFormat="1" x14ac:dyDescent="0.25">
      <c r="A36" s="162"/>
      <c r="B36" s="162"/>
      <c r="C36" s="162"/>
      <c r="D36" s="166" t="s">
        <v>29</v>
      </c>
      <c r="E36" s="162"/>
      <c r="F36" s="164"/>
      <c r="G36" s="165"/>
      <c r="H36" s="141">
        <f>SUM(H30:H35)</f>
        <v>55599.66</v>
      </c>
      <c r="I36" s="10"/>
      <c r="J36" s="44"/>
      <c r="K36" s="10"/>
      <c r="L36" s="10"/>
      <c r="M36" s="10"/>
      <c r="N36" s="10"/>
      <c r="O36" s="10"/>
      <c r="P36" s="10"/>
      <c r="Q36" s="10"/>
      <c r="R36" s="10"/>
      <c r="S36" s="10"/>
      <c r="T36" s="10"/>
      <c r="U36" s="10"/>
      <c r="V36" s="10"/>
      <c r="W36" s="10"/>
      <c r="X36" s="10"/>
      <c r="Y36" s="10"/>
      <c r="Z36" s="10"/>
      <c r="AA36" s="10"/>
      <c r="AB36" s="10"/>
      <c r="AC36" s="10"/>
    </row>
    <row r="37" spans="1:29" s="8" customFormat="1" x14ac:dyDescent="0.25">
      <c r="A37" s="156"/>
      <c r="B37" s="156"/>
      <c r="C37" s="157" t="s">
        <v>40</v>
      </c>
      <c r="D37" s="158" t="s">
        <v>89</v>
      </c>
      <c r="E37" s="156"/>
      <c r="F37" s="169"/>
      <c r="G37" s="170"/>
      <c r="H37" s="171"/>
      <c r="I37" s="10"/>
      <c r="J37" s="44"/>
      <c r="K37" s="10"/>
      <c r="L37" s="10"/>
      <c r="M37" s="10"/>
      <c r="N37" s="10"/>
      <c r="O37" s="10"/>
      <c r="P37" s="10"/>
      <c r="Q37" s="10"/>
      <c r="R37" s="10"/>
      <c r="S37" s="10"/>
      <c r="T37" s="10"/>
      <c r="U37" s="10"/>
      <c r="V37" s="10"/>
      <c r="W37" s="10"/>
      <c r="X37" s="10"/>
      <c r="Y37" s="10"/>
      <c r="Z37" s="10"/>
      <c r="AA37" s="10"/>
      <c r="AB37" s="10"/>
      <c r="AC37" s="10"/>
    </row>
    <row r="38" spans="1:29" s="8" customFormat="1" ht="55.2" customHeight="1" x14ac:dyDescent="0.25">
      <c r="A38" s="162" t="s">
        <v>26</v>
      </c>
      <c r="B38" s="162" t="s">
        <v>99</v>
      </c>
      <c r="C38" s="162" t="s">
        <v>60</v>
      </c>
      <c r="D38" s="172" t="s">
        <v>95</v>
      </c>
      <c r="E38" s="162" t="s">
        <v>77</v>
      </c>
      <c r="F38" s="164">
        <f>'Memória de cálculo'!I59</f>
        <v>1</v>
      </c>
      <c r="G38" s="165">
        <f t="shared" ref="G38:G46" si="9">J38*1.285</f>
        <v>65.73</v>
      </c>
      <c r="H38" s="165">
        <f>G38*F38</f>
        <v>65.73</v>
      </c>
      <c r="I38" s="10"/>
      <c r="J38" s="43">
        <v>51.15</v>
      </c>
      <c r="K38" s="10"/>
      <c r="L38" s="10"/>
      <c r="M38" s="10"/>
      <c r="N38" s="10"/>
      <c r="O38" s="10"/>
      <c r="P38" s="10"/>
      <c r="Q38" s="10"/>
      <c r="R38" s="10"/>
      <c r="S38" s="10"/>
      <c r="T38" s="10"/>
      <c r="U38" s="10"/>
      <c r="V38" s="10"/>
      <c r="W38" s="10"/>
      <c r="X38" s="10"/>
      <c r="Y38" s="10"/>
      <c r="Z38" s="10"/>
      <c r="AA38" s="10"/>
      <c r="AB38" s="10"/>
      <c r="AC38" s="10"/>
    </row>
    <row r="39" spans="1:29" s="8" customFormat="1" ht="37.799999999999997" customHeight="1" x14ac:dyDescent="0.25">
      <c r="A39" s="162" t="s">
        <v>26</v>
      </c>
      <c r="B39" s="162" t="s">
        <v>100</v>
      </c>
      <c r="C39" s="162" t="s">
        <v>41</v>
      </c>
      <c r="D39" s="172" t="s">
        <v>90</v>
      </c>
      <c r="E39" s="162" t="s">
        <v>77</v>
      </c>
      <c r="F39" s="164">
        <f>'Memória de cálculo'!I61</f>
        <v>1</v>
      </c>
      <c r="G39" s="165">
        <f t="shared" si="9"/>
        <v>10.81</v>
      </c>
      <c r="H39" s="165">
        <f t="shared" ref="H39:H46" si="10">G39*F39</f>
        <v>10.81</v>
      </c>
      <c r="I39" s="10"/>
      <c r="J39" s="43">
        <v>8.41</v>
      </c>
      <c r="K39" s="10"/>
      <c r="L39" s="10"/>
      <c r="M39" s="10"/>
      <c r="N39" s="10"/>
      <c r="O39" s="10"/>
      <c r="P39" s="10"/>
      <c r="Q39" s="10"/>
      <c r="R39" s="10"/>
      <c r="S39" s="10"/>
      <c r="T39" s="10"/>
      <c r="U39" s="10"/>
      <c r="V39" s="10"/>
      <c r="W39" s="10"/>
      <c r="X39" s="10"/>
      <c r="Y39" s="10"/>
      <c r="Z39" s="10"/>
      <c r="AA39" s="10"/>
      <c r="AB39" s="10"/>
      <c r="AC39" s="10"/>
    </row>
    <row r="40" spans="1:29" s="8" customFormat="1" ht="40.799999999999997" customHeight="1" x14ac:dyDescent="0.25">
      <c r="A40" s="162" t="s">
        <v>26</v>
      </c>
      <c r="B40" s="162" t="s">
        <v>101</v>
      </c>
      <c r="C40" s="162" t="s">
        <v>61</v>
      </c>
      <c r="D40" s="172" t="s">
        <v>91</v>
      </c>
      <c r="E40" s="162" t="s">
        <v>77</v>
      </c>
      <c r="F40" s="164">
        <f>'Memória de cálculo'!I63</f>
        <v>1</v>
      </c>
      <c r="G40" s="165">
        <f t="shared" si="9"/>
        <v>35.93</v>
      </c>
      <c r="H40" s="165">
        <f t="shared" si="10"/>
        <v>35.93</v>
      </c>
      <c r="I40" s="10"/>
      <c r="J40" s="43">
        <v>27.96</v>
      </c>
      <c r="K40" s="10"/>
      <c r="L40" s="10"/>
      <c r="M40" s="10"/>
      <c r="N40" s="10"/>
      <c r="O40" s="10"/>
      <c r="P40" s="10"/>
      <c r="Q40" s="10"/>
      <c r="R40" s="10"/>
      <c r="S40" s="10"/>
      <c r="T40" s="10"/>
      <c r="U40" s="10"/>
      <c r="V40" s="10"/>
      <c r="W40" s="10"/>
      <c r="X40" s="10"/>
      <c r="Y40" s="10"/>
      <c r="Z40" s="10"/>
      <c r="AA40" s="10"/>
      <c r="AB40" s="10"/>
      <c r="AC40" s="10"/>
    </row>
    <row r="41" spans="1:29" s="8" customFormat="1" ht="35.4" customHeight="1" x14ac:dyDescent="0.25">
      <c r="A41" s="162" t="s">
        <v>26</v>
      </c>
      <c r="B41" s="162">
        <v>97607</v>
      </c>
      <c r="C41" s="162" t="s">
        <v>62</v>
      </c>
      <c r="D41" s="172" t="s">
        <v>203</v>
      </c>
      <c r="E41" s="162" t="s">
        <v>77</v>
      </c>
      <c r="F41" s="164">
        <f>'Memória de cálculo'!I65</f>
        <v>7</v>
      </c>
      <c r="G41" s="165">
        <f t="shared" si="9"/>
        <v>120.21</v>
      </c>
      <c r="H41" s="165">
        <f t="shared" si="10"/>
        <v>841.47</v>
      </c>
      <c r="I41" s="10"/>
      <c r="J41" s="43">
        <v>93.55</v>
      </c>
      <c r="K41" s="10"/>
      <c r="L41" s="10"/>
      <c r="M41" s="10"/>
      <c r="N41" s="10"/>
      <c r="O41" s="10"/>
      <c r="P41" s="10"/>
      <c r="Q41" s="10"/>
      <c r="R41" s="10"/>
      <c r="S41" s="10"/>
      <c r="T41" s="10"/>
      <c r="U41" s="10"/>
      <c r="V41" s="10"/>
      <c r="W41" s="10"/>
      <c r="X41" s="10"/>
      <c r="Y41" s="10"/>
      <c r="Z41" s="10"/>
      <c r="AA41" s="10"/>
      <c r="AB41" s="10"/>
      <c r="AC41" s="10"/>
    </row>
    <row r="42" spans="1:29" s="8" customFormat="1" ht="27.6" customHeight="1" x14ac:dyDescent="0.25">
      <c r="A42" s="162" t="s">
        <v>26</v>
      </c>
      <c r="B42" s="162">
        <v>83446</v>
      </c>
      <c r="C42" s="162" t="s">
        <v>63</v>
      </c>
      <c r="D42" s="172" t="s">
        <v>211</v>
      </c>
      <c r="E42" s="162" t="s">
        <v>77</v>
      </c>
      <c r="F42" s="164">
        <f>'Memória de cálculo'!I67</f>
        <v>1</v>
      </c>
      <c r="G42" s="165">
        <f t="shared" si="9"/>
        <v>178.05</v>
      </c>
      <c r="H42" s="165">
        <f t="shared" si="10"/>
        <v>178.05</v>
      </c>
      <c r="I42" s="10"/>
      <c r="J42" s="43">
        <v>138.56</v>
      </c>
      <c r="K42" s="10"/>
      <c r="L42" s="10"/>
      <c r="M42" s="10"/>
      <c r="N42" s="10"/>
      <c r="O42" s="10"/>
      <c r="P42" s="10"/>
      <c r="Q42" s="10"/>
      <c r="R42" s="10"/>
      <c r="S42" s="10"/>
      <c r="T42" s="10"/>
      <c r="U42" s="10"/>
      <c r="V42" s="10"/>
      <c r="W42" s="10"/>
      <c r="X42" s="10"/>
      <c r="Y42" s="10"/>
      <c r="Z42" s="10"/>
      <c r="AA42" s="10"/>
      <c r="AB42" s="10"/>
      <c r="AC42" s="10"/>
    </row>
    <row r="43" spans="1:29" s="8" customFormat="1" ht="49.8" customHeight="1" x14ac:dyDescent="0.25">
      <c r="A43" s="162" t="s">
        <v>26</v>
      </c>
      <c r="B43" s="162" t="s">
        <v>102</v>
      </c>
      <c r="C43" s="162" t="s">
        <v>66</v>
      </c>
      <c r="D43" s="172" t="s">
        <v>92</v>
      </c>
      <c r="E43" s="162" t="s">
        <v>87</v>
      </c>
      <c r="F43" s="164">
        <f>'Memória de cálculo'!I69</f>
        <v>4</v>
      </c>
      <c r="G43" s="165">
        <f t="shared" si="9"/>
        <v>28.68</v>
      </c>
      <c r="H43" s="165">
        <f t="shared" si="10"/>
        <v>114.72</v>
      </c>
      <c r="I43" s="10"/>
      <c r="J43" s="43">
        <v>22.32</v>
      </c>
      <c r="K43" s="10"/>
      <c r="L43" s="10"/>
      <c r="M43" s="10"/>
      <c r="N43" s="10"/>
      <c r="O43" s="10"/>
      <c r="P43" s="10"/>
      <c r="Q43" s="10"/>
      <c r="R43" s="10"/>
      <c r="S43" s="10"/>
      <c r="T43" s="10"/>
      <c r="U43" s="10"/>
      <c r="V43" s="10"/>
      <c r="W43" s="10"/>
      <c r="X43" s="10"/>
      <c r="Y43" s="10"/>
      <c r="Z43" s="10"/>
      <c r="AA43" s="10"/>
      <c r="AB43" s="10"/>
      <c r="AC43" s="10"/>
    </row>
    <row r="44" spans="1:29" s="8" customFormat="1" ht="49.2" customHeight="1" x14ac:dyDescent="0.25">
      <c r="A44" s="162" t="s">
        <v>26</v>
      </c>
      <c r="B44" s="162">
        <v>95745</v>
      </c>
      <c r="C44" s="162" t="s">
        <v>96</v>
      </c>
      <c r="D44" s="172" t="s">
        <v>204</v>
      </c>
      <c r="E44" s="162" t="s">
        <v>87</v>
      </c>
      <c r="F44" s="164">
        <f>'Memória de cálculo'!I71</f>
        <v>3</v>
      </c>
      <c r="G44" s="165">
        <f t="shared" si="9"/>
        <v>19.89</v>
      </c>
      <c r="H44" s="165">
        <f t="shared" si="10"/>
        <v>59.67</v>
      </c>
      <c r="I44" s="10"/>
      <c r="J44" s="43">
        <v>15.48</v>
      </c>
      <c r="K44" s="10"/>
      <c r="L44" s="10"/>
      <c r="M44" s="10"/>
      <c r="N44" s="10"/>
      <c r="O44" s="10"/>
      <c r="P44" s="10"/>
      <c r="Q44" s="10"/>
      <c r="R44" s="10"/>
      <c r="S44" s="10"/>
      <c r="T44" s="10"/>
      <c r="U44" s="10"/>
      <c r="V44" s="10"/>
      <c r="W44" s="10"/>
      <c r="X44" s="10"/>
      <c r="Y44" s="10"/>
      <c r="Z44" s="10"/>
      <c r="AA44" s="10"/>
      <c r="AB44" s="10"/>
      <c r="AC44" s="10"/>
    </row>
    <row r="45" spans="1:29" s="8" customFormat="1" ht="37.200000000000003" customHeight="1" x14ac:dyDescent="0.25">
      <c r="A45" s="162" t="s">
        <v>26</v>
      </c>
      <c r="B45" s="162" t="s">
        <v>103</v>
      </c>
      <c r="C45" s="162" t="s">
        <v>97</v>
      </c>
      <c r="D45" s="172" t="s">
        <v>93</v>
      </c>
      <c r="E45" s="162" t="s">
        <v>87</v>
      </c>
      <c r="F45" s="164">
        <f>'Memória de cálculo'!I73</f>
        <v>94.3</v>
      </c>
      <c r="G45" s="165">
        <f t="shared" si="9"/>
        <v>3.02</v>
      </c>
      <c r="H45" s="165">
        <f t="shared" si="10"/>
        <v>284.79000000000002</v>
      </c>
      <c r="I45" s="10"/>
      <c r="J45" s="43">
        <v>2.35</v>
      </c>
      <c r="K45" s="10"/>
      <c r="L45" s="10"/>
      <c r="M45" s="10"/>
      <c r="N45" s="10"/>
      <c r="O45" s="10"/>
      <c r="P45" s="10"/>
      <c r="Q45" s="10"/>
      <c r="R45" s="10"/>
      <c r="S45" s="10"/>
      <c r="T45" s="10"/>
      <c r="U45" s="10"/>
      <c r="V45" s="10"/>
      <c r="W45" s="10"/>
      <c r="X45" s="10"/>
      <c r="Y45" s="10"/>
      <c r="Z45" s="10"/>
      <c r="AA45" s="10"/>
      <c r="AB45" s="10"/>
      <c r="AC45" s="10"/>
    </row>
    <row r="46" spans="1:29" s="8" customFormat="1" ht="21.6" x14ac:dyDescent="0.25">
      <c r="A46" s="162" t="s">
        <v>26</v>
      </c>
      <c r="B46" s="162" t="s">
        <v>104</v>
      </c>
      <c r="C46" s="162" t="s">
        <v>98</v>
      </c>
      <c r="D46" s="172" t="s">
        <v>94</v>
      </c>
      <c r="E46" s="162" t="s">
        <v>77</v>
      </c>
      <c r="F46" s="164">
        <f>'Memória de cálculo'!I75</f>
        <v>1</v>
      </c>
      <c r="G46" s="165">
        <f t="shared" si="9"/>
        <v>60.75</v>
      </c>
      <c r="H46" s="165">
        <f t="shared" si="10"/>
        <v>60.75</v>
      </c>
      <c r="I46" s="10"/>
      <c r="J46" s="43">
        <v>47.28</v>
      </c>
      <c r="K46" s="10"/>
      <c r="L46" s="10"/>
      <c r="M46" s="10"/>
      <c r="N46" s="10"/>
      <c r="O46" s="10"/>
      <c r="P46" s="10"/>
      <c r="Q46" s="10"/>
      <c r="R46" s="10"/>
      <c r="S46" s="10"/>
      <c r="T46" s="10"/>
      <c r="U46" s="10"/>
      <c r="V46" s="10"/>
      <c r="W46" s="10"/>
      <c r="X46" s="10"/>
      <c r="Y46" s="10"/>
      <c r="Z46" s="10"/>
      <c r="AA46" s="10"/>
      <c r="AB46" s="10"/>
      <c r="AC46" s="10"/>
    </row>
    <row r="47" spans="1:29" s="8" customFormat="1" x14ac:dyDescent="0.25">
      <c r="A47" s="162"/>
      <c r="B47" s="162"/>
      <c r="C47" s="162"/>
      <c r="D47" s="166" t="s">
        <v>29</v>
      </c>
      <c r="E47" s="167"/>
      <c r="F47" s="168"/>
      <c r="G47" s="165"/>
      <c r="H47" s="141">
        <f>SUM(H38:H46)</f>
        <v>1651.92</v>
      </c>
      <c r="I47" s="10"/>
      <c r="J47" s="44"/>
      <c r="K47" s="10"/>
      <c r="L47" s="10"/>
      <c r="M47" s="10"/>
      <c r="N47" s="10"/>
      <c r="O47" s="10"/>
      <c r="P47" s="10"/>
      <c r="Q47" s="10"/>
      <c r="R47" s="10"/>
      <c r="S47" s="10"/>
      <c r="T47" s="10"/>
      <c r="U47" s="10"/>
      <c r="V47" s="10"/>
      <c r="W47" s="10"/>
      <c r="X47" s="10"/>
      <c r="Y47" s="10"/>
      <c r="Z47" s="10"/>
      <c r="AA47" s="10"/>
      <c r="AB47" s="10"/>
      <c r="AC47" s="10"/>
    </row>
    <row r="48" spans="1:29" s="8" customFormat="1" x14ac:dyDescent="0.25">
      <c r="A48" s="162"/>
      <c r="B48" s="162"/>
      <c r="C48" s="162"/>
      <c r="D48" s="172"/>
      <c r="E48" s="162"/>
      <c r="F48" s="164"/>
      <c r="G48" s="165"/>
      <c r="H48" s="165"/>
      <c r="I48" s="10"/>
      <c r="J48" s="44"/>
      <c r="K48" s="10"/>
      <c r="L48" s="10"/>
      <c r="M48" s="10"/>
      <c r="N48" s="10"/>
      <c r="O48" s="10"/>
      <c r="P48" s="10"/>
      <c r="Q48" s="10"/>
      <c r="R48" s="10"/>
      <c r="S48" s="10"/>
      <c r="T48" s="10"/>
      <c r="U48" s="10"/>
      <c r="V48" s="10"/>
      <c r="W48" s="10"/>
      <c r="X48" s="10"/>
      <c r="Y48" s="10"/>
      <c r="Z48" s="10"/>
      <c r="AA48" s="10"/>
      <c r="AB48" s="10"/>
      <c r="AC48" s="10"/>
    </row>
    <row r="49" spans="1:29" s="8" customFormat="1" x14ac:dyDescent="0.25">
      <c r="A49" s="156"/>
      <c r="B49" s="156"/>
      <c r="C49" s="157" t="s">
        <v>105</v>
      </c>
      <c r="D49" s="158" t="s">
        <v>65</v>
      </c>
      <c r="E49" s="156"/>
      <c r="F49" s="169"/>
      <c r="G49" s="170"/>
      <c r="H49" s="171"/>
      <c r="I49" s="10"/>
      <c r="J49" s="44"/>
      <c r="K49" s="10"/>
      <c r="L49" s="10"/>
      <c r="M49" s="10"/>
      <c r="N49" s="10"/>
      <c r="O49" s="10"/>
      <c r="P49" s="10"/>
      <c r="Q49" s="10"/>
      <c r="R49" s="10"/>
      <c r="S49" s="10"/>
      <c r="T49" s="10"/>
      <c r="U49" s="10"/>
      <c r="V49" s="10"/>
      <c r="W49" s="10"/>
      <c r="X49" s="10"/>
      <c r="Y49" s="10"/>
      <c r="Z49" s="10"/>
      <c r="AA49" s="10"/>
      <c r="AB49" s="10"/>
      <c r="AC49" s="10"/>
    </row>
    <row r="50" spans="1:29" s="8" customFormat="1" ht="50.4" customHeight="1" x14ac:dyDescent="0.25">
      <c r="A50" s="162" t="s">
        <v>26</v>
      </c>
      <c r="B50" s="162">
        <v>94990</v>
      </c>
      <c r="C50" s="162" t="s">
        <v>108</v>
      </c>
      <c r="D50" s="172" t="s">
        <v>84</v>
      </c>
      <c r="E50" s="162" t="s">
        <v>85</v>
      </c>
      <c r="F50" s="164">
        <f>'Memória de cálculo'!I79</f>
        <v>0.62</v>
      </c>
      <c r="G50" s="165">
        <f t="shared" ref="G50:G57" si="11">J50*1.285</f>
        <v>624.77</v>
      </c>
      <c r="H50" s="165">
        <f>G50*F50</f>
        <v>387.36</v>
      </c>
      <c r="I50" s="10"/>
      <c r="J50" s="43">
        <v>486.2</v>
      </c>
      <c r="K50" s="10"/>
      <c r="L50" s="10"/>
      <c r="M50" s="10"/>
      <c r="N50" s="10"/>
      <c r="O50" s="10"/>
      <c r="P50" s="10"/>
      <c r="Q50" s="10"/>
      <c r="R50" s="10"/>
      <c r="S50" s="10"/>
      <c r="T50" s="10"/>
      <c r="U50" s="10"/>
      <c r="V50" s="10"/>
      <c r="W50" s="10"/>
      <c r="X50" s="10"/>
      <c r="Y50" s="10"/>
      <c r="Z50" s="10"/>
      <c r="AA50" s="10"/>
      <c r="AB50" s="10"/>
      <c r="AC50" s="10"/>
    </row>
    <row r="51" spans="1:29" s="8" customFormat="1" ht="34.799999999999997" customHeight="1" x14ac:dyDescent="0.25">
      <c r="A51" s="162" t="s">
        <v>26</v>
      </c>
      <c r="B51" s="162">
        <v>98679</v>
      </c>
      <c r="C51" s="162" t="s">
        <v>109</v>
      </c>
      <c r="D51" s="172" t="s">
        <v>212</v>
      </c>
      <c r="E51" s="162" t="s">
        <v>86</v>
      </c>
      <c r="F51" s="164">
        <f>'Memória de cálculo'!I81</f>
        <v>12.15</v>
      </c>
      <c r="G51" s="165">
        <f t="shared" si="11"/>
        <v>28.84</v>
      </c>
      <c r="H51" s="165">
        <f>G51*F51</f>
        <v>350.41</v>
      </c>
      <c r="I51" s="10"/>
      <c r="J51" s="43">
        <v>22.44</v>
      </c>
      <c r="K51" s="10"/>
      <c r="L51" s="10"/>
      <c r="M51" s="10"/>
      <c r="N51" s="10"/>
      <c r="O51" s="10"/>
      <c r="P51" s="10"/>
      <c r="Q51" s="10"/>
      <c r="R51" s="10"/>
      <c r="S51" s="10"/>
      <c r="T51" s="10"/>
      <c r="U51" s="10"/>
      <c r="V51" s="10"/>
      <c r="W51" s="10"/>
      <c r="X51" s="10"/>
      <c r="Y51" s="10"/>
      <c r="Z51" s="10"/>
      <c r="AA51" s="10"/>
      <c r="AB51" s="10"/>
      <c r="AC51" s="10"/>
    </row>
    <row r="52" spans="1:29" s="8" customFormat="1" ht="76.2" customHeight="1" x14ac:dyDescent="0.25">
      <c r="A52" s="162" t="s">
        <v>26</v>
      </c>
      <c r="B52" s="162">
        <v>94274</v>
      </c>
      <c r="C52" s="162" t="s">
        <v>110</v>
      </c>
      <c r="D52" s="172" t="s">
        <v>88</v>
      </c>
      <c r="E52" s="162" t="s">
        <v>87</v>
      </c>
      <c r="F52" s="164">
        <f>'Memória de cálculo'!I84</f>
        <v>8.4499999999999993</v>
      </c>
      <c r="G52" s="165">
        <f t="shared" si="11"/>
        <v>43.77</v>
      </c>
      <c r="H52" s="165">
        <f>G52*F52</f>
        <v>369.86</v>
      </c>
      <c r="I52" s="10"/>
      <c r="J52" s="43">
        <v>34.06</v>
      </c>
      <c r="K52" s="10"/>
      <c r="L52" s="10"/>
      <c r="M52" s="10"/>
      <c r="N52" s="10"/>
      <c r="O52" s="10"/>
      <c r="P52" s="10"/>
      <c r="Q52" s="10"/>
      <c r="R52" s="10"/>
      <c r="S52" s="10"/>
      <c r="T52" s="10"/>
      <c r="U52" s="10"/>
      <c r="V52" s="10"/>
      <c r="W52" s="10"/>
      <c r="X52" s="10"/>
      <c r="Y52" s="10"/>
      <c r="Z52" s="10"/>
      <c r="AA52" s="10"/>
      <c r="AB52" s="10"/>
      <c r="AC52" s="10"/>
    </row>
    <row r="53" spans="1:29" s="8" customFormat="1" ht="37.799999999999997" customHeight="1" x14ac:dyDescent="0.25">
      <c r="A53" s="162" t="s">
        <v>26</v>
      </c>
      <c r="B53" s="162">
        <v>94098</v>
      </c>
      <c r="C53" s="162" t="s">
        <v>111</v>
      </c>
      <c r="D53" s="172" t="s">
        <v>106</v>
      </c>
      <c r="E53" s="162" t="s">
        <v>86</v>
      </c>
      <c r="F53" s="164">
        <f>'Memória de cálculo'!I86</f>
        <v>4.1100000000000003</v>
      </c>
      <c r="G53" s="165">
        <f t="shared" si="11"/>
        <v>6.22</v>
      </c>
      <c r="H53" s="165">
        <f t="shared" ref="H53:H54" si="12">G53*F53</f>
        <v>25.56</v>
      </c>
      <c r="I53" s="10"/>
      <c r="J53" s="43">
        <v>4.84</v>
      </c>
      <c r="K53" s="10"/>
      <c r="L53" s="10"/>
      <c r="M53" s="10"/>
      <c r="N53" s="10"/>
      <c r="O53" s="10"/>
      <c r="P53" s="10"/>
      <c r="Q53" s="10"/>
      <c r="R53" s="10"/>
      <c r="S53" s="10"/>
      <c r="T53" s="10"/>
      <c r="U53" s="10"/>
      <c r="V53" s="10"/>
      <c r="W53" s="10"/>
      <c r="X53" s="10"/>
      <c r="Y53" s="10"/>
      <c r="Z53" s="10"/>
      <c r="AA53" s="10"/>
      <c r="AB53" s="10"/>
      <c r="AC53" s="10"/>
    </row>
    <row r="54" spans="1:29" s="8" customFormat="1" ht="16.2" customHeight="1" x14ac:dyDescent="0.25">
      <c r="A54" s="162" t="s">
        <v>26</v>
      </c>
      <c r="B54" s="162">
        <v>98504</v>
      </c>
      <c r="C54" s="162" t="s">
        <v>112</v>
      </c>
      <c r="D54" s="172" t="s">
        <v>213</v>
      </c>
      <c r="E54" s="162" t="s">
        <v>86</v>
      </c>
      <c r="F54" s="164">
        <f>'Memória de cálculo'!I88</f>
        <v>4.1100000000000003</v>
      </c>
      <c r="G54" s="165">
        <f t="shared" si="11"/>
        <v>9.8000000000000007</v>
      </c>
      <c r="H54" s="165">
        <f t="shared" si="12"/>
        <v>40.28</v>
      </c>
      <c r="I54" s="10"/>
      <c r="J54" s="43">
        <v>7.63</v>
      </c>
      <c r="K54" s="10"/>
      <c r="L54" s="10"/>
      <c r="M54" s="10"/>
      <c r="N54" s="10"/>
      <c r="O54" s="10"/>
      <c r="P54" s="10"/>
      <c r="Q54" s="10"/>
      <c r="R54" s="10"/>
      <c r="S54" s="10"/>
      <c r="T54" s="10"/>
      <c r="U54" s="10"/>
      <c r="V54" s="10"/>
      <c r="W54" s="10"/>
      <c r="X54" s="10"/>
      <c r="Y54" s="10"/>
      <c r="Z54" s="10"/>
      <c r="AA54" s="10"/>
      <c r="AB54" s="10"/>
      <c r="AC54" s="10"/>
    </row>
    <row r="55" spans="1:29" s="8" customFormat="1" ht="31.2" customHeight="1" x14ac:dyDescent="0.25">
      <c r="A55" s="162" t="s">
        <v>238</v>
      </c>
      <c r="B55" s="162">
        <v>6</v>
      </c>
      <c r="C55" s="162" t="s">
        <v>113</v>
      </c>
      <c r="D55" s="172" t="str">
        <f>'COMPOSIÇÕES (2)'!B115</f>
        <v>GUARDA-CORPO EM TUBO DE ACO GALVANIZADO (TIPO 1)</v>
      </c>
      <c r="E55" s="162" t="s">
        <v>87</v>
      </c>
      <c r="F55" s="164">
        <f>'Memória de cálculo'!I91</f>
        <v>51.1</v>
      </c>
      <c r="G55" s="165">
        <f t="shared" si="11"/>
        <v>644.94000000000005</v>
      </c>
      <c r="H55" s="165">
        <f>G55*F55</f>
        <v>32956.43</v>
      </c>
      <c r="I55" s="10"/>
      <c r="J55" s="43">
        <f>'COMPOSIÇÕES (2)'!F121</f>
        <v>501.9</v>
      </c>
      <c r="K55" s="10"/>
      <c r="L55" s="10"/>
      <c r="M55" s="10"/>
      <c r="N55" s="10"/>
      <c r="O55" s="10"/>
      <c r="P55" s="10"/>
      <c r="Q55" s="10"/>
      <c r="R55" s="10"/>
      <c r="S55" s="10"/>
      <c r="T55" s="10"/>
      <c r="U55" s="10"/>
      <c r="V55" s="10"/>
      <c r="W55" s="10"/>
      <c r="X55" s="10"/>
      <c r="Y55" s="10"/>
      <c r="Z55" s="10"/>
      <c r="AA55" s="10"/>
      <c r="AB55" s="10"/>
      <c r="AC55" s="10"/>
    </row>
    <row r="56" spans="1:29" s="8" customFormat="1" ht="30" customHeight="1" x14ac:dyDescent="0.25">
      <c r="A56" s="162" t="s">
        <v>238</v>
      </c>
      <c r="B56" s="162">
        <v>7</v>
      </c>
      <c r="C56" s="162" t="s">
        <v>149</v>
      </c>
      <c r="D56" s="172" t="str">
        <f>'COMPOSIÇÕES (2)'!B131</f>
        <v>GUARDA-CORPO EM TUBO DE ACO GALVANIZADO (TIPO 2)</v>
      </c>
      <c r="E56" s="162" t="s">
        <v>87</v>
      </c>
      <c r="F56" s="164">
        <f>'Memória de cálculo'!I93</f>
        <v>27</v>
      </c>
      <c r="G56" s="165">
        <f t="shared" si="11"/>
        <v>767.32</v>
      </c>
      <c r="H56" s="165">
        <f>G56*F56</f>
        <v>20717.64</v>
      </c>
      <c r="I56" s="10"/>
      <c r="J56" s="43">
        <f>'COMPOSIÇÕES (2)'!F139</f>
        <v>597.14</v>
      </c>
      <c r="K56" s="10"/>
      <c r="L56" s="10"/>
      <c r="M56" s="10"/>
      <c r="N56" s="10"/>
      <c r="O56" s="10"/>
      <c r="P56" s="10"/>
      <c r="Q56" s="10"/>
      <c r="R56" s="10"/>
      <c r="S56" s="10"/>
      <c r="T56" s="10"/>
      <c r="U56" s="10"/>
      <c r="V56" s="10"/>
      <c r="W56" s="10"/>
      <c r="X56" s="10"/>
      <c r="Y56" s="10"/>
      <c r="Z56" s="10"/>
      <c r="AA56" s="10"/>
      <c r="AB56" s="10"/>
      <c r="AC56" s="10"/>
    </row>
    <row r="57" spans="1:29" s="8" customFormat="1" ht="43.2" x14ac:dyDescent="0.25">
      <c r="A57" s="162" t="s">
        <v>26</v>
      </c>
      <c r="B57" s="162" t="s">
        <v>200</v>
      </c>
      <c r="C57" s="162" t="s">
        <v>201</v>
      </c>
      <c r="D57" s="172" t="s">
        <v>199</v>
      </c>
      <c r="E57" s="162" t="s">
        <v>86</v>
      </c>
      <c r="F57" s="164">
        <f>'Memória de cálculo'!I112</f>
        <v>212.73</v>
      </c>
      <c r="G57" s="165">
        <f t="shared" si="11"/>
        <v>20.75</v>
      </c>
      <c r="H57" s="165">
        <f>G57*F57</f>
        <v>4414.1499999999996</v>
      </c>
      <c r="I57" s="10"/>
      <c r="J57" s="43">
        <v>16.149999999999999</v>
      </c>
      <c r="K57" s="10"/>
      <c r="L57" s="176"/>
      <c r="M57" s="10"/>
      <c r="N57" s="10"/>
      <c r="O57" s="10"/>
      <c r="P57" s="10"/>
      <c r="Q57" s="10"/>
      <c r="R57" s="10"/>
      <c r="S57" s="10"/>
      <c r="T57" s="10"/>
      <c r="U57" s="10"/>
      <c r="V57" s="10"/>
      <c r="W57" s="10"/>
      <c r="X57" s="10"/>
      <c r="Y57" s="10"/>
      <c r="Z57" s="10"/>
      <c r="AA57" s="10"/>
      <c r="AB57" s="10"/>
      <c r="AC57" s="10"/>
    </row>
    <row r="58" spans="1:29" s="8" customFormat="1" x14ac:dyDescent="0.25">
      <c r="A58" s="162"/>
      <c r="B58" s="162"/>
      <c r="C58" s="162"/>
      <c r="D58" s="166" t="s">
        <v>29</v>
      </c>
      <c r="E58" s="167"/>
      <c r="F58" s="168"/>
      <c r="G58" s="165"/>
      <c r="H58" s="141">
        <f>SUM(H50:H57)</f>
        <v>59261.69</v>
      </c>
      <c r="I58" s="10"/>
      <c r="J58" s="44"/>
      <c r="K58" s="10"/>
      <c r="L58" s="10"/>
      <c r="M58" s="10"/>
      <c r="N58" s="10"/>
      <c r="O58" s="10"/>
      <c r="P58" s="10"/>
      <c r="Q58" s="10"/>
      <c r="R58" s="10"/>
      <c r="S58" s="10"/>
      <c r="T58" s="10"/>
      <c r="U58" s="10"/>
      <c r="V58" s="10"/>
      <c r="W58" s="10"/>
      <c r="X58" s="10"/>
      <c r="Y58" s="10"/>
      <c r="Z58" s="10"/>
      <c r="AA58" s="10"/>
      <c r="AB58" s="10"/>
      <c r="AC58" s="10"/>
    </row>
    <row r="59" spans="1:29" s="4" customFormat="1" x14ac:dyDescent="0.25">
      <c r="A59" s="162"/>
      <c r="B59" s="162"/>
      <c r="C59" s="162"/>
      <c r="D59" s="172"/>
      <c r="E59" s="162"/>
      <c r="F59" s="174"/>
      <c r="G59" s="21"/>
      <c r="H59" s="175"/>
      <c r="I59" s="13"/>
      <c r="J59" s="21"/>
      <c r="K59" s="13"/>
      <c r="L59" s="13"/>
      <c r="M59" s="13"/>
      <c r="N59" s="13"/>
      <c r="O59" s="13"/>
      <c r="P59" s="13"/>
      <c r="Q59" s="13"/>
      <c r="R59" s="13"/>
      <c r="S59" s="13"/>
      <c r="T59" s="13"/>
      <c r="U59" s="13"/>
      <c r="V59" s="13"/>
      <c r="W59" s="13"/>
      <c r="X59" s="13"/>
      <c r="Y59" s="13"/>
      <c r="Z59" s="13"/>
      <c r="AA59" s="13"/>
      <c r="AB59" s="13"/>
      <c r="AC59" s="13"/>
    </row>
    <row r="60" spans="1:29" s="8" customFormat="1" x14ac:dyDescent="0.25">
      <c r="A60" s="313" t="s">
        <v>5</v>
      </c>
      <c r="B60" s="313"/>
      <c r="C60" s="313"/>
      <c r="D60" s="313"/>
      <c r="E60" s="314">
        <f>SUM(H7:H58)/2</f>
        <v>194797.61</v>
      </c>
      <c r="F60" s="314"/>
      <c r="G60" s="314"/>
      <c r="H60" s="314"/>
      <c r="I60" s="10"/>
      <c r="J60" s="10"/>
      <c r="K60" s="10"/>
      <c r="L60" s="10"/>
      <c r="M60" s="10"/>
      <c r="N60" s="10"/>
      <c r="O60" s="10"/>
      <c r="P60" s="10"/>
      <c r="Q60" s="10"/>
      <c r="R60" s="10"/>
      <c r="S60" s="10"/>
      <c r="T60" s="10"/>
      <c r="U60" s="10"/>
      <c r="V60" s="10"/>
      <c r="W60" s="10"/>
      <c r="X60" s="10"/>
      <c r="Y60" s="10"/>
      <c r="Z60" s="10"/>
      <c r="AA60" s="10"/>
      <c r="AB60" s="10"/>
      <c r="AC60" s="10"/>
    </row>
    <row r="61" spans="1:29" ht="42.75" customHeight="1" x14ac:dyDescent="0.25">
      <c r="A61" s="22"/>
      <c r="B61" s="22"/>
      <c r="C61" s="22"/>
      <c r="D61" s="27"/>
      <c r="E61" s="22"/>
      <c r="F61" s="22"/>
      <c r="G61" s="23"/>
      <c r="H61" s="23"/>
      <c r="J61" s="23"/>
    </row>
    <row r="62" spans="1:29" x14ac:dyDescent="0.25">
      <c r="A62" s="22"/>
      <c r="B62" s="22"/>
      <c r="C62" s="22"/>
      <c r="D62" s="94" t="s">
        <v>182</v>
      </c>
      <c r="E62" s="22"/>
      <c r="F62" s="22"/>
      <c r="G62" s="23"/>
      <c r="H62" s="23"/>
    </row>
    <row r="63" spans="1:29" ht="11.25" customHeight="1" x14ac:dyDescent="0.25">
      <c r="A63" s="22"/>
      <c r="B63" s="22"/>
      <c r="C63" s="22"/>
      <c r="D63" s="95" t="s">
        <v>183</v>
      </c>
      <c r="E63" s="22"/>
      <c r="F63" s="22"/>
      <c r="G63" s="23"/>
      <c r="H63" s="23"/>
    </row>
  </sheetData>
  <mergeCells count="10">
    <mergeCell ref="A60:D60"/>
    <mergeCell ref="E60:H60"/>
    <mergeCell ref="A1:H1"/>
    <mergeCell ref="C4:C5"/>
    <mergeCell ref="B4:B5"/>
    <mergeCell ref="A4:A5"/>
    <mergeCell ref="D4:D5"/>
    <mergeCell ref="E4:E5"/>
    <mergeCell ref="F4:F5"/>
    <mergeCell ref="G4:H4"/>
  </mergeCells>
  <printOptions horizontalCentered="1"/>
  <pageMargins left="0.98425196850393704" right="0.59055118110236227" top="1.1811023622047245" bottom="1.1811023622047245" header="0.47244094488188981" footer="0.59055118110236227"/>
  <pageSetup paperSize="9" orientation="portrait" r:id="rId1"/>
  <headerFooter>
    <oddHeader>&amp;C&amp;"MV Boli,Normal Negrito"&amp;20&amp;G</oddHeader>
    <oddFooter>&amp;C&amp;"Trebuchet MS,Itálico"&amp;9Rua Pedro Caetano Domingues, nº 33, Quincas Machado, Guaçuí – ES / CNPJ: 21.861.470/0001-10 
       contato.vmengenharia@gmail.com / (28) 9 9963 2562 / (28) 9 9966 6524&amp;R&amp;"Trebuchet MS,Itálico"&amp;9&amp;P de &amp;N</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318"/>
  <sheetViews>
    <sheetView showZeros="0" view="pageBreakPreview" zoomScale="130" zoomScaleNormal="90" zoomScaleSheetLayoutView="130" workbookViewId="0">
      <selection activeCell="B42" sqref="B42"/>
    </sheetView>
  </sheetViews>
  <sheetFormatPr defaultColWidth="14.6640625" defaultRowHeight="10.8" x14ac:dyDescent="0.2"/>
  <cols>
    <col min="1" max="1" width="7.44140625" style="89" customWidth="1"/>
    <col min="2" max="2" width="45.6640625" style="90" customWidth="1"/>
    <col min="3" max="3" width="6.44140625" style="91" customWidth="1"/>
    <col min="4" max="4" width="10.6640625" style="92" customWidth="1"/>
    <col min="5" max="8" width="10.6640625" style="93" customWidth="1"/>
    <col min="9" max="9" width="11.33203125" style="93" customWidth="1"/>
    <col min="10" max="255" width="14.6640625" style="45"/>
    <col min="256" max="256" width="7.44140625" style="45" customWidth="1"/>
    <col min="257" max="257" width="45.6640625" style="45" customWidth="1"/>
    <col min="258" max="258" width="6.44140625" style="45" customWidth="1"/>
    <col min="259" max="262" width="13.6640625" style="45" customWidth="1"/>
    <col min="263" max="264" width="12.6640625" style="45" customWidth="1"/>
    <col min="265" max="511" width="14.6640625" style="45"/>
    <col min="512" max="512" width="7.44140625" style="45" customWidth="1"/>
    <col min="513" max="513" width="45.6640625" style="45" customWidth="1"/>
    <col min="514" max="514" width="6.44140625" style="45" customWidth="1"/>
    <col min="515" max="518" width="13.6640625" style="45" customWidth="1"/>
    <col min="519" max="520" width="12.6640625" style="45" customWidth="1"/>
    <col min="521" max="767" width="14.6640625" style="45"/>
    <col min="768" max="768" width="7.44140625" style="45" customWidth="1"/>
    <col min="769" max="769" width="45.6640625" style="45" customWidth="1"/>
    <col min="770" max="770" width="6.44140625" style="45" customWidth="1"/>
    <col min="771" max="774" width="13.6640625" style="45" customWidth="1"/>
    <col min="775" max="776" width="12.6640625" style="45" customWidth="1"/>
    <col min="777" max="1023" width="14.6640625" style="45"/>
    <col min="1024" max="1024" width="7.44140625" style="45" customWidth="1"/>
    <col min="1025" max="1025" width="45.6640625" style="45" customWidth="1"/>
    <col min="1026" max="1026" width="6.44140625" style="45" customWidth="1"/>
    <col min="1027" max="1030" width="13.6640625" style="45" customWidth="1"/>
    <col min="1031" max="1032" width="12.6640625" style="45" customWidth="1"/>
    <col min="1033" max="1279" width="14.6640625" style="45"/>
    <col min="1280" max="1280" width="7.44140625" style="45" customWidth="1"/>
    <col min="1281" max="1281" width="45.6640625" style="45" customWidth="1"/>
    <col min="1282" max="1282" width="6.44140625" style="45" customWidth="1"/>
    <col min="1283" max="1286" width="13.6640625" style="45" customWidth="1"/>
    <col min="1287" max="1288" width="12.6640625" style="45" customWidth="1"/>
    <col min="1289" max="1535" width="14.6640625" style="45"/>
    <col min="1536" max="1536" width="7.44140625" style="45" customWidth="1"/>
    <col min="1537" max="1537" width="45.6640625" style="45" customWidth="1"/>
    <col min="1538" max="1538" width="6.44140625" style="45" customWidth="1"/>
    <col min="1539" max="1542" width="13.6640625" style="45" customWidth="1"/>
    <col min="1543" max="1544" width="12.6640625" style="45" customWidth="1"/>
    <col min="1545" max="1791" width="14.6640625" style="45"/>
    <col min="1792" max="1792" width="7.44140625" style="45" customWidth="1"/>
    <col min="1793" max="1793" width="45.6640625" style="45" customWidth="1"/>
    <col min="1794" max="1794" width="6.44140625" style="45" customWidth="1"/>
    <col min="1795" max="1798" width="13.6640625" style="45" customWidth="1"/>
    <col min="1799" max="1800" width="12.6640625" style="45" customWidth="1"/>
    <col min="1801" max="2047" width="14.6640625" style="45"/>
    <col min="2048" max="2048" width="7.44140625" style="45" customWidth="1"/>
    <col min="2049" max="2049" width="45.6640625" style="45" customWidth="1"/>
    <col min="2050" max="2050" width="6.44140625" style="45" customWidth="1"/>
    <col min="2051" max="2054" width="13.6640625" style="45" customWidth="1"/>
    <col min="2055" max="2056" width="12.6640625" style="45" customWidth="1"/>
    <col min="2057" max="2303" width="14.6640625" style="45"/>
    <col min="2304" max="2304" width="7.44140625" style="45" customWidth="1"/>
    <col min="2305" max="2305" width="45.6640625" style="45" customWidth="1"/>
    <col min="2306" max="2306" width="6.44140625" style="45" customWidth="1"/>
    <col min="2307" max="2310" width="13.6640625" style="45" customWidth="1"/>
    <col min="2311" max="2312" width="12.6640625" style="45" customWidth="1"/>
    <col min="2313" max="2559" width="14.6640625" style="45"/>
    <col min="2560" max="2560" width="7.44140625" style="45" customWidth="1"/>
    <col min="2561" max="2561" width="45.6640625" style="45" customWidth="1"/>
    <col min="2562" max="2562" width="6.44140625" style="45" customWidth="1"/>
    <col min="2563" max="2566" width="13.6640625" style="45" customWidth="1"/>
    <col min="2567" max="2568" width="12.6640625" style="45" customWidth="1"/>
    <col min="2569" max="2815" width="14.6640625" style="45"/>
    <col min="2816" max="2816" width="7.44140625" style="45" customWidth="1"/>
    <col min="2817" max="2817" width="45.6640625" style="45" customWidth="1"/>
    <col min="2818" max="2818" width="6.44140625" style="45" customWidth="1"/>
    <col min="2819" max="2822" width="13.6640625" style="45" customWidth="1"/>
    <col min="2823" max="2824" width="12.6640625" style="45" customWidth="1"/>
    <col min="2825" max="3071" width="14.6640625" style="45"/>
    <col min="3072" max="3072" width="7.44140625" style="45" customWidth="1"/>
    <col min="3073" max="3073" width="45.6640625" style="45" customWidth="1"/>
    <col min="3074" max="3074" width="6.44140625" style="45" customWidth="1"/>
    <col min="3075" max="3078" width="13.6640625" style="45" customWidth="1"/>
    <col min="3079" max="3080" width="12.6640625" style="45" customWidth="1"/>
    <col min="3081" max="3327" width="14.6640625" style="45"/>
    <col min="3328" max="3328" width="7.44140625" style="45" customWidth="1"/>
    <col min="3329" max="3329" width="45.6640625" style="45" customWidth="1"/>
    <col min="3330" max="3330" width="6.44140625" style="45" customWidth="1"/>
    <col min="3331" max="3334" width="13.6640625" style="45" customWidth="1"/>
    <col min="3335" max="3336" width="12.6640625" style="45" customWidth="1"/>
    <col min="3337" max="3583" width="14.6640625" style="45"/>
    <col min="3584" max="3584" width="7.44140625" style="45" customWidth="1"/>
    <col min="3585" max="3585" width="45.6640625" style="45" customWidth="1"/>
    <col min="3586" max="3586" width="6.44140625" style="45" customWidth="1"/>
    <col min="3587" max="3590" width="13.6640625" style="45" customWidth="1"/>
    <col min="3591" max="3592" width="12.6640625" style="45" customWidth="1"/>
    <col min="3593" max="3839" width="14.6640625" style="45"/>
    <col min="3840" max="3840" width="7.44140625" style="45" customWidth="1"/>
    <col min="3841" max="3841" width="45.6640625" style="45" customWidth="1"/>
    <col min="3842" max="3842" width="6.44140625" style="45" customWidth="1"/>
    <col min="3843" max="3846" width="13.6640625" style="45" customWidth="1"/>
    <col min="3847" max="3848" width="12.6640625" style="45" customWidth="1"/>
    <col min="3849" max="4095" width="14.6640625" style="45"/>
    <col min="4096" max="4096" width="7.44140625" style="45" customWidth="1"/>
    <col min="4097" max="4097" width="45.6640625" style="45" customWidth="1"/>
    <col min="4098" max="4098" width="6.44140625" style="45" customWidth="1"/>
    <col min="4099" max="4102" width="13.6640625" style="45" customWidth="1"/>
    <col min="4103" max="4104" width="12.6640625" style="45" customWidth="1"/>
    <col min="4105" max="4351" width="14.6640625" style="45"/>
    <col min="4352" max="4352" width="7.44140625" style="45" customWidth="1"/>
    <col min="4353" max="4353" width="45.6640625" style="45" customWidth="1"/>
    <col min="4354" max="4354" width="6.44140625" style="45" customWidth="1"/>
    <col min="4355" max="4358" width="13.6640625" style="45" customWidth="1"/>
    <col min="4359" max="4360" width="12.6640625" style="45" customWidth="1"/>
    <col min="4361" max="4607" width="14.6640625" style="45"/>
    <col min="4608" max="4608" width="7.44140625" style="45" customWidth="1"/>
    <col min="4609" max="4609" width="45.6640625" style="45" customWidth="1"/>
    <col min="4610" max="4610" width="6.44140625" style="45" customWidth="1"/>
    <col min="4611" max="4614" width="13.6640625" style="45" customWidth="1"/>
    <col min="4615" max="4616" width="12.6640625" style="45" customWidth="1"/>
    <col min="4617" max="4863" width="14.6640625" style="45"/>
    <col min="4864" max="4864" width="7.44140625" style="45" customWidth="1"/>
    <col min="4865" max="4865" width="45.6640625" style="45" customWidth="1"/>
    <col min="4866" max="4866" width="6.44140625" style="45" customWidth="1"/>
    <col min="4867" max="4870" width="13.6640625" style="45" customWidth="1"/>
    <col min="4871" max="4872" width="12.6640625" style="45" customWidth="1"/>
    <col min="4873" max="5119" width="14.6640625" style="45"/>
    <col min="5120" max="5120" width="7.44140625" style="45" customWidth="1"/>
    <col min="5121" max="5121" width="45.6640625" style="45" customWidth="1"/>
    <col min="5122" max="5122" width="6.44140625" style="45" customWidth="1"/>
    <col min="5123" max="5126" width="13.6640625" style="45" customWidth="1"/>
    <col min="5127" max="5128" width="12.6640625" style="45" customWidth="1"/>
    <col min="5129" max="5375" width="14.6640625" style="45"/>
    <col min="5376" max="5376" width="7.44140625" style="45" customWidth="1"/>
    <col min="5377" max="5377" width="45.6640625" style="45" customWidth="1"/>
    <col min="5378" max="5378" width="6.44140625" style="45" customWidth="1"/>
    <col min="5379" max="5382" width="13.6640625" style="45" customWidth="1"/>
    <col min="5383" max="5384" width="12.6640625" style="45" customWidth="1"/>
    <col min="5385" max="5631" width="14.6640625" style="45"/>
    <col min="5632" max="5632" width="7.44140625" style="45" customWidth="1"/>
    <col min="5633" max="5633" width="45.6640625" style="45" customWidth="1"/>
    <col min="5634" max="5634" width="6.44140625" style="45" customWidth="1"/>
    <col min="5635" max="5638" width="13.6640625" style="45" customWidth="1"/>
    <col min="5639" max="5640" width="12.6640625" style="45" customWidth="1"/>
    <col min="5641" max="5887" width="14.6640625" style="45"/>
    <col min="5888" max="5888" width="7.44140625" style="45" customWidth="1"/>
    <col min="5889" max="5889" width="45.6640625" style="45" customWidth="1"/>
    <col min="5890" max="5890" width="6.44140625" style="45" customWidth="1"/>
    <col min="5891" max="5894" width="13.6640625" style="45" customWidth="1"/>
    <col min="5895" max="5896" width="12.6640625" style="45" customWidth="1"/>
    <col min="5897" max="6143" width="14.6640625" style="45"/>
    <col min="6144" max="6144" width="7.44140625" style="45" customWidth="1"/>
    <col min="6145" max="6145" width="45.6640625" style="45" customWidth="1"/>
    <col min="6146" max="6146" width="6.44140625" style="45" customWidth="1"/>
    <col min="6147" max="6150" width="13.6640625" style="45" customWidth="1"/>
    <col min="6151" max="6152" width="12.6640625" style="45" customWidth="1"/>
    <col min="6153" max="6399" width="14.6640625" style="45"/>
    <col min="6400" max="6400" width="7.44140625" style="45" customWidth="1"/>
    <col min="6401" max="6401" width="45.6640625" style="45" customWidth="1"/>
    <col min="6402" max="6402" width="6.44140625" style="45" customWidth="1"/>
    <col min="6403" max="6406" width="13.6640625" style="45" customWidth="1"/>
    <col min="6407" max="6408" width="12.6640625" style="45" customWidth="1"/>
    <col min="6409" max="6655" width="14.6640625" style="45"/>
    <col min="6656" max="6656" width="7.44140625" style="45" customWidth="1"/>
    <col min="6657" max="6657" width="45.6640625" style="45" customWidth="1"/>
    <col min="6658" max="6658" width="6.44140625" style="45" customWidth="1"/>
    <col min="6659" max="6662" width="13.6640625" style="45" customWidth="1"/>
    <col min="6663" max="6664" width="12.6640625" style="45" customWidth="1"/>
    <col min="6665" max="6911" width="14.6640625" style="45"/>
    <col min="6912" max="6912" width="7.44140625" style="45" customWidth="1"/>
    <col min="6913" max="6913" width="45.6640625" style="45" customWidth="1"/>
    <col min="6914" max="6914" width="6.44140625" style="45" customWidth="1"/>
    <col min="6915" max="6918" width="13.6640625" style="45" customWidth="1"/>
    <col min="6919" max="6920" width="12.6640625" style="45" customWidth="1"/>
    <col min="6921" max="7167" width="14.6640625" style="45"/>
    <col min="7168" max="7168" width="7.44140625" style="45" customWidth="1"/>
    <col min="7169" max="7169" width="45.6640625" style="45" customWidth="1"/>
    <col min="7170" max="7170" width="6.44140625" style="45" customWidth="1"/>
    <col min="7171" max="7174" width="13.6640625" style="45" customWidth="1"/>
    <col min="7175" max="7176" width="12.6640625" style="45" customWidth="1"/>
    <col min="7177" max="7423" width="14.6640625" style="45"/>
    <col min="7424" max="7424" width="7.44140625" style="45" customWidth="1"/>
    <col min="7425" max="7425" width="45.6640625" style="45" customWidth="1"/>
    <col min="7426" max="7426" width="6.44140625" style="45" customWidth="1"/>
    <col min="7427" max="7430" width="13.6640625" style="45" customWidth="1"/>
    <col min="7431" max="7432" width="12.6640625" style="45" customWidth="1"/>
    <col min="7433" max="7679" width="14.6640625" style="45"/>
    <col min="7680" max="7680" width="7.44140625" style="45" customWidth="1"/>
    <col min="7681" max="7681" width="45.6640625" style="45" customWidth="1"/>
    <col min="7682" max="7682" width="6.44140625" style="45" customWidth="1"/>
    <col min="7683" max="7686" width="13.6640625" style="45" customWidth="1"/>
    <col min="7687" max="7688" width="12.6640625" style="45" customWidth="1"/>
    <col min="7689" max="7935" width="14.6640625" style="45"/>
    <col min="7936" max="7936" width="7.44140625" style="45" customWidth="1"/>
    <col min="7937" max="7937" width="45.6640625" style="45" customWidth="1"/>
    <col min="7938" max="7938" width="6.44140625" style="45" customWidth="1"/>
    <col min="7939" max="7942" width="13.6640625" style="45" customWidth="1"/>
    <col min="7943" max="7944" width="12.6640625" style="45" customWidth="1"/>
    <col min="7945" max="8191" width="14.6640625" style="45"/>
    <col min="8192" max="8192" width="7.44140625" style="45" customWidth="1"/>
    <col min="8193" max="8193" width="45.6640625" style="45" customWidth="1"/>
    <col min="8194" max="8194" width="6.44140625" style="45" customWidth="1"/>
    <col min="8195" max="8198" width="13.6640625" style="45" customWidth="1"/>
    <col min="8199" max="8200" width="12.6640625" style="45" customWidth="1"/>
    <col min="8201" max="8447" width="14.6640625" style="45"/>
    <col min="8448" max="8448" width="7.44140625" style="45" customWidth="1"/>
    <col min="8449" max="8449" width="45.6640625" style="45" customWidth="1"/>
    <col min="8450" max="8450" width="6.44140625" style="45" customWidth="1"/>
    <col min="8451" max="8454" width="13.6640625" style="45" customWidth="1"/>
    <col min="8455" max="8456" width="12.6640625" style="45" customWidth="1"/>
    <col min="8457" max="8703" width="14.6640625" style="45"/>
    <col min="8704" max="8704" width="7.44140625" style="45" customWidth="1"/>
    <col min="8705" max="8705" width="45.6640625" style="45" customWidth="1"/>
    <col min="8706" max="8706" width="6.44140625" style="45" customWidth="1"/>
    <col min="8707" max="8710" width="13.6640625" style="45" customWidth="1"/>
    <col min="8711" max="8712" width="12.6640625" style="45" customWidth="1"/>
    <col min="8713" max="8959" width="14.6640625" style="45"/>
    <col min="8960" max="8960" width="7.44140625" style="45" customWidth="1"/>
    <col min="8961" max="8961" width="45.6640625" style="45" customWidth="1"/>
    <col min="8962" max="8962" width="6.44140625" style="45" customWidth="1"/>
    <col min="8963" max="8966" width="13.6640625" style="45" customWidth="1"/>
    <col min="8967" max="8968" width="12.6640625" style="45" customWidth="1"/>
    <col min="8969" max="9215" width="14.6640625" style="45"/>
    <col min="9216" max="9216" width="7.44140625" style="45" customWidth="1"/>
    <col min="9217" max="9217" width="45.6640625" style="45" customWidth="1"/>
    <col min="9218" max="9218" width="6.44140625" style="45" customWidth="1"/>
    <col min="9219" max="9222" width="13.6640625" style="45" customWidth="1"/>
    <col min="9223" max="9224" width="12.6640625" style="45" customWidth="1"/>
    <col min="9225" max="9471" width="14.6640625" style="45"/>
    <col min="9472" max="9472" width="7.44140625" style="45" customWidth="1"/>
    <col min="9473" max="9473" width="45.6640625" style="45" customWidth="1"/>
    <col min="9474" max="9474" width="6.44140625" style="45" customWidth="1"/>
    <col min="9475" max="9478" width="13.6640625" style="45" customWidth="1"/>
    <col min="9479" max="9480" width="12.6640625" style="45" customWidth="1"/>
    <col min="9481" max="9727" width="14.6640625" style="45"/>
    <col min="9728" max="9728" width="7.44140625" style="45" customWidth="1"/>
    <col min="9729" max="9729" width="45.6640625" style="45" customWidth="1"/>
    <col min="9730" max="9730" width="6.44140625" style="45" customWidth="1"/>
    <col min="9731" max="9734" width="13.6640625" style="45" customWidth="1"/>
    <col min="9735" max="9736" width="12.6640625" style="45" customWidth="1"/>
    <col min="9737" max="9983" width="14.6640625" style="45"/>
    <col min="9984" max="9984" width="7.44140625" style="45" customWidth="1"/>
    <col min="9985" max="9985" width="45.6640625" style="45" customWidth="1"/>
    <col min="9986" max="9986" width="6.44140625" style="45" customWidth="1"/>
    <col min="9987" max="9990" width="13.6640625" style="45" customWidth="1"/>
    <col min="9991" max="9992" width="12.6640625" style="45" customWidth="1"/>
    <col min="9993" max="10239" width="14.6640625" style="45"/>
    <col min="10240" max="10240" width="7.44140625" style="45" customWidth="1"/>
    <col min="10241" max="10241" width="45.6640625" style="45" customWidth="1"/>
    <col min="10242" max="10242" width="6.44140625" style="45" customWidth="1"/>
    <col min="10243" max="10246" width="13.6640625" style="45" customWidth="1"/>
    <col min="10247" max="10248" width="12.6640625" style="45" customWidth="1"/>
    <col min="10249" max="10495" width="14.6640625" style="45"/>
    <col min="10496" max="10496" width="7.44140625" style="45" customWidth="1"/>
    <col min="10497" max="10497" width="45.6640625" style="45" customWidth="1"/>
    <col min="10498" max="10498" width="6.44140625" style="45" customWidth="1"/>
    <col min="10499" max="10502" width="13.6640625" style="45" customWidth="1"/>
    <col min="10503" max="10504" width="12.6640625" style="45" customWidth="1"/>
    <col min="10505" max="10751" width="14.6640625" style="45"/>
    <col min="10752" max="10752" width="7.44140625" style="45" customWidth="1"/>
    <col min="10753" max="10753" width="45.6640625" style="45" customWidth="1"/>
    <col min="10754" max="10754" width="6.44140625" style="45" customWidth="1"/>
    <col min="10755" max="10758" width="13.6640625" style="45" customWidth="1"/>
    <col min="10759" max="10760" width="12.6640625" style="45" customWidth="1"/>
    <col min="10761" max="11007" width="14.6640625" style="45"/>
    <col min="11008" max="11008" width="7.44140625" style="45" customWidth="1"/>
    <col min="11009" max="11009" width="45.6640625" style="45" customWidth="1"/>
    <col min="11010" max="11010" width="6.44140625" style="45" customWidth="1"/>
    <col min="11011" max="11014" width="13.6640625" style="45" customWidth="1"/>
    <col min="11015" max="11016" width="12.6640625" style="45" customWidth="1"/>
    <col min="11017" max="11263" width="14.6640625" style="45"/>
    <col min="11264" max="11264" width="7.44140625" style="45" customWidth="1"/>
    <col min="11265" max="11265" width="45.6640625" style="45" customWidth="1"/>
    <col min="11266" max="11266" width="6.44140625" style="45" customWidth="1"/>
    <col min="11267" max="11270" width="13.6640625" style="45" customWidth="1"/>
    <col min="11271" max="11272" width="12.6640625" style="45" customWidth="1"/>
    <col min="11273" max="11519" width="14.6640625" style="45"/>
    <col min="11520" max="11520" width="7.44140625" style="45" customWidth="1"/>
    <col min="11521" max="11521" width="45.6640625" style="45" customWidth="1"/>
    <col min="11522" max="11522" width="6.44140625" style="45" customWidth="1"/>
    <col min="11523" max="11526" width="13.6640625" style="45" customWidth="1"/>
    <col min="11527" max="11528" width="12.6640625" style="45" customWidth="1"/>
    <col min="11529" max="11775" width="14.6640625" style="45"/>
    <col min="11776" max="11776" width="7.44140625" style="45" customWidth="1"/>
    <col min="11777" max="11777" width="45.6640625" style="45" customWidth="1"/>
    <col min="11778" max="11778" width="6.44140625" style="45" customWidth="1"/>
    <col min="11779" max="11782" width="13.6640625" style="45" customWidth="1"/>
    <col min="11783" max="11784" width="12.6640625" style="45" customWidth="1"/>
    <col min="11785" max="12031" width="14.6640625" style="45"/>
    <col min="12032" max="12032" width="7.44140625" style="45" customWidth="1"/>
    <col min="12033" max="12033" width="45.6640625" style="45" customWidth="1"/>
    <col min="12034" max="12034" width="6.44140625" style="45" customWidth="1"/>
    <col min="12035" max="12038" width="13.6640625" style="45" customWidth="1"/>
    <col min="12039" max="12040" width="12.6640625" style="45" customWidth="1"/>
    <col min="12041" max="12287" width="14.6640625" style="45"/>
    <col min="12288" max="12288" width="7.44140625" style="45" customWidth="1"/>
    <col min="12289" max="12289" width="45.6640625" style="45" customWidth="1"/>
    <col min="12290" max="12290" width="6.44140625" style="45" customWidth="1"/>
    <col min="12291" max="12294" width="13.6640625" style="45" customWidth="1"/>
    <col min="12295" max="12296" width="12.6640625" style="45" customWidth="1"/>
    <col min="12297" max="12543" width="14.6640625" style="45"/>
    <col min="12544" max="12544" width="7.44140625" style="45" customWidth="1"/>
    <col min="12545" max="12545" width="45.6640625" style="45" customWidth="1"/>
    <col min="12546" max="12546" width="6.44140625" style="45" customWidth="1"/>
    <col min="12547" max="12550" width="13.6640625" style="45" customWidth="1"/>
    <col min="12551" max="12552" width="12.6640625" style="45" customWidth="1"/>
    <col min="12553" max="12799" width="14.6640625" style="45"/>
    <col min="12800" max="12800" width="7.44140625" style="45" customWidth="1"/>
    <col min="12801" max="12801" width="45.6640625" style="45" customWidth="1"/>
    <col min="12802" max="12802" width="6.44140625" style="45" customWidth="1"/>
    <col min="12803" max="12806" width="13.6640625" style="45" customWidth="1"/>
    <col min="12807" max="12808" width="12.6640625" style="45" customWidth="1"/>
    <col min="12809" max="13055" width="14.6640625" style="45"/>
    <col min="13056" max="13056" width="7.44140625" style="45" customWidth="1"/>
    <col min="13057" max="13057" width="45.6640625" style="45" customWidth="1"/>
    <col min="13058" max="13058" width="6.44140625" style="45" customWidth="1"/>
    <col min="13059" max="13062" width="13.6640625" style="45" customWidth="1"/>
    <col min="13063" max="13064" width="12.6640625" style="45" customWidth="1"/>
    <col min="13065" max="13311" width="14.6640625" style="45"/>
    <col min="13312" max="13312" width="7.44140625" style="45" customWidth="1"/>
    <col min="13313" max="13313" width="45.6640625" style="45" customWidth="1"/>
    <col min="13314" max="13314" width="6.44140625" style="45" customWidth="1"/>
    <col min="13315" max="13318" width="13.6640625" style="45" customWidth="1"/>
    <col min="13319" max="13320" width="12.6640625" style="45" customWidth="1"/>
    <col min="13321" max="13567" width="14.6640625" style="45"/>
    <col min="13568" max="13568" width="7.44140625" style="45" customWidth="1"/>
    <col min="13569" max="13569" width="45.6640625" style="45" customWidth="1"/>
    <col min="13570" max="13570" width="6.44140625" style="45" customWidth="1"/>
    <col min="13571" max="13574" width="13.6640625" style="45" customWidth="1"/>
    <col min="13575" max="13576" width="12.6640625" style="45" customWidth="1"/>
    <col min="13577" max="13823" width="14.6640625" style="45"/>
    <col min="13824" max="13824" width="7.44140625" style="45" customWidth="1"/>
    <col min="13825" max="13825" width="45.6640625" style="45" customWidth="1"/>
    <col min="13826" max="13826" width="6.44140625" style="45" customWidth="1"/>
    <col min="13827" max="13830" width="13.6640625" style="45" customWidth="1"/>
    <col min="13831" max="13832" width="12.6640625" style="45" customWidth="1"/>
    <col min="13833" max="14079" width="14.6640625" style="45"/>
    <col min="14080" max="14080" width="7.44140625" style="45" customWidth="1"/>
    <col min="14081" max="14081" width="45.6640625" style="45" customWidth="1"/>
    <col min="14082" max="14082" width="6.44140625" style="45" customWidth="1"/>
    <col min="14083" max="14086" width="13.6640625" style="45" customWidth="1"/>
    <col min="14087" max="14088" width="12.6640625" style="45" customWidth="1"/>
    <col min="14089" max="14335" width="14.6640625" style="45"/>
    <col min="14336" max="14336" width="7.44140625" style="45" customWidth="1"/>
    <col min="14337" max="14337" width="45.6640625" style="45" customWidth="1"/>
    <col min="14338" max="14338" width="6.44140625" style="45" customWidth="1"/>
    <col min="14339" max="14342" width="13.6640625" style="45" customWidth="1"/>
    <col min="14343" max="14344" width="12.6640625" style="45" customWidth="1"/>
    <col min="14345" max="14591" width="14.6640625" style="45"/>
    <col min="14592" max="14592" width="7.44140625" style="45" customWidth="1"/>
    <col min="14593" max="14593" width="45.6640625" style="45" customWidth="1"/>
    <col min="14594" max="14594" width="6.44140625" style="45" customWidth="1"/>
    <col min="14595" max="14598" width="13.6640625" style="45" customWidth="1"/>
    <col min="14599" max="14600" width="12.6640625" style="45" customWidth="1"/>
    <col min="14601" max="14847" width="14.6640625" style="45"/>
    <col min="14848" max="14848" width="7.44140625" style="45" customWidth="1"/>
    <col min="14849" max="14849" width="45.6640625" style="45" customWidth="1"/>
    <col min="14850" max="14850" width="6.44140625" style="45" customWidth="1"/>
    <col min="14851" max="14854" width="13.6640625" style="45" customWidth="1"/>
    <col min="14855" max="14856" width="12.6640625" style="45" customWidth="1"/>
    <col min="14857" max="15103" width="14.6640625" style="45"/>
    <col min="15104" max="15104" width="7.44140625" style="45" customWidth="1"/>
    <col min="15105" max="15105" width="45.6640625" style="45" customWidth="1"/>
    <col min="15106" max="15106" width="6.44140625" style="45" customWidth="1"/>
    <col min="15107" max="15110" width="13.6640625" style="45" customWidth="1"/>
    <col min="15111" max="15112" width="12.6640625" style="45" customWidth="1"/>
    <col min="15113" max="15359" width="14.6640625" style="45"/>
    <col min="15360" max="15360" width="7.44140625" style="45" customWidth="1"/>
    <col min="15361" max="15361" width="45.6640625" style="45" customWidth="1"/>
    <col min="15362" max="15362" width="6.44140625" style="45" customWidth="1"/>
    <col min="15363" max="15366" width="13.6640625" style="45" customWidth="1"/>
    <col min="15367" max="15368" width="12.6640625" style="45" customWidth="1"/>
    <col min="15369" max="15615" width="14.6640625" style="45"/>
    <col min="15616" max="15616" width="7.44140625" style="45" customWidth="1"/>
    <col min="15617" max="15617" width="45.6640625" style="45" customWidth="1"/>
    <col min="15618" max="15618" width="6.44140625" style="45" customWidth="1"/>
    <col min="15619" max="15622" width="13.6640625" style="45" customWidth="1"/>
    <col min="15623" max="15624" width="12.6640625" style="45" customWidth="1"/>
    <col min="15625" max="15871" width="14.6640625" style="45"/>
    <col min="15872" max="15872" width="7.44140625" style="45" customWidth="1"/>
    <col min="15873" max="15873" width="45.6640625" style="45" customWidth="1"/>
    <col min="15874" max="15874" width="6.44140625" style="45" customWidth="1"/>
    <col min="15875" max="15878" width="13.6640625" style="45" customWidth="1"/>
    <col min="15879" max="15880" width="12.6640625" style="45" customWidth="1"/>
    <col min="15881" max="16127" width="14.6640625" style="45"/>
    <col min="16128" max="16128" width="7.44140625" style="45" customWidth="1"/>
    <col min="16129" max="16129" width="45.6640625" style="45" customWidth="1"/>
    <col min="16130" max="16130" width="6.44140625" style="45" customWidth="1"/>
    <col min="16131" max="16134" width="13.6640625" style="45" customWidth="1"/>
    <col min="16135" max="16136" width="12.6640625" style="45" customWidth="1"/>
    <col min="16137" max="16384" width="14.6640625" style="45"/>
  </cols>
  <sheetData>
    <row r="1" spans="1:9" ht="17.399999999999999" x14ac:dyDescent="0.2">
      <c r="A1" s="320" t="s">
        <v>20</v>
      </c>
      <c r="B1" s="320"/>
      <c r="C1" s="320"/>
      <c r="D1" s="320"/>
      <c r="E1" s="320"/>
      <c r="F1" s="320"/>
      <c r="G1" s="320"/>
      <c r="H1" s="320"/>
      <c r="I1" s="320"/>
    </row>
    <row r="2" spans="1:9" x14ac:dyDescent="0.2">
      <c r="A2" s="321" t="s">
        <v>180</v>
      </c>
      <c r="B2" s="321"/>
      <c r="C2" s="82"/>
      <c r="D2" s="96"/>
      <c r="E2" s="97"/>
      <c r="F2" s="97"/>
      <c r="G2" s="98"/>
      <c r="H2" s="99"/>
      <c r="I2" s="245"/>
    </row>
    <row r="3" spans="1:9" x14ac:dyDescent="0.2">
      <c r="A3" s="321" t="s">
        <v>181</v>
      </c>
      <c r="B3" s="321"/>
      <c r="C3" s="82"/>
      <c r="D3" s="96"/>
      <c r="E3" s="97"/>
      <c r="F3" s="97"/>
      <c r="G3" s="98"/>
      <c r="H3" s="100"/>
      <c r="I3" s="46"/>
    </row>
    <row r="4" spans="1:9" ht="10.199999999999999" x14ac:dyDescent="0.2">
      <c r="A4" s="322" t="s">
        <v>0</v>
      </c>
      <c r="B4" s="322" t="s">
        <v>31</v>
      </c>
      <c r="C4" s="322" t="s">
        <v>32</v>
      </c>
      <c r="D4" s="322"/>
      <c r="E4" s="322"/>
      <c r="F4" s="322"/>
      <c r="G4" s="322"/>
      <c r="H4" s="322"/>
      <c r="I4" s="322"/>
    </row>
    <row r="5" spans="1:9" ht="10.199999999999999" x14ac:dyDescent="0.2">
      <c r="A5" s="322"/>
      <c r="B5" s="322"/>
      <c r="C5" s="230" t="s">
        <v>33</v>
      </c>
      <c r="D5" s="323" t="s">
        <v>34</v>
      </c>
      <c r="E5" s="323"/>
      <c r="F5" s="323"/>
      <c r="G5" s="323"/>
      <c r="H5" s="323"/>
      <c r="I5" s="230" t="s">
        <v>6</v>
      </c>
    </row>
    <row r="6" spans="1:9" x14ac:dyDescent="0.2">
      <c r="A6" s="47" t="s">
        <v>42</v>
      </c>
      <c r="B6" s="48" t="str">
        <f>'Planilha Orçamentária'!D6</f>
        <v>ADMINISTRAÇÃO LOCAL</v>
      </c>
      <c r="C6" s="49">
        <v>0</v>
      </c>
      <c r="D6" s="50"/>
      <c r="E6" s="50"/>
      <c r="F6" s="50"/>
      <c r="G6" s="50"/>
      <c r="H6" s="51"/>
      <c r="I6" s="105"/>
    </row>
    <row r="7" spans="1:9" ht="15.6" customHeight="1" x14ac:dyDescent="0.2">
      <c r="A7" s="246" t="str">
        <f>'Planilha Orçamentária'!C7</f>
        <v>1.1</v>
      </c>
      <c r="B7" s="101" t="str">
        <f>'Planilha Orçamentária'!D7</f>
        <v>ADMINISTRATIVO LOCAL</v>
      </c>
      <c r="C7" s="248" t="str">
        <f>'Planilha Orçamentária'!E7</f>
        <v>UND</v>
      </c>
      <c r="D7" s="53"/>
      <c r="E7" s="53"/>
      <c r="F7" s="53"/>
      <c r="G7" s="53"/>
      <c r="H7" s="53" t="s">
        <v>39</v>
      </c>
      <c r="I7" s="106"/>
    </row>
    <row r="8" spans="1:9" x14ac:dyDescent="0.25">
      <c r="A8" s="54"/>
      <c r="B8" s="55" t="s">
        <v>206</v>
      </c>
      <c r="C8" s="114"/>
      <c r="D8" s="56"/>
      <c r="E8" s="56"/>
      <c r="F8" s="57"/>
      <c r="G8" s="57"/>
      <c r="H8" s="57">
        <v>1</v>
      </c>
      <c r="I8" s="112">
        <f>H8</f>
        <v>1</v>
      </c>
    </row>
    <row r="9" spans="1:9" x14ac:dyDescent="0.2">
      <c r="A9" s="47" t="s">
        <v>44</v>
      </c>
      <c r="B9" s="48" t="str">
        <f>'Planilha Orçamentária'!D9</f>
        <v>SERVIÇOS PRELIMINARES</v>
      </c>
      <c r="C9" s="49">
        <v>0</v>
      </c>
      <c r="D9" s="50"/>
      <c r="E9" s="50"/>
      <c r="F9" s="50"/>
      <c r="G9" s="50"/>
      <c r="H9" s="51"/>
      <c r="I9" s="107"/>
    </row>
    <row r="10" spans="1:9" ht="35.4" customHeight="1" x14ac:dyDescent="0.2">
      <c r="A10" s="246" t="str">
        <f>'Planilha Orçamentária'!C10</f>
        <v>2.1</v>
      </c>
      <c r="B10" s="247" t="str">
        <f>'Planilha Orçamentária'!D10</f>
        <v>DEMOLIÇÃO DE PILARES E VIGAS EM CONCRETO ARMADO, DE FORMA MECANIZADA COM MARTELETE, SEM REAPROVEITAMENTO. AF_12/2017</v>
      </c>
      <c r="C10" s="246" t="str">
        <f>'Planilha Orçamentária'!E10</f>
        <v>M³</v>
      </c>
      <c r="D10" s="53" t="s">
        <v>38</v>
      </c>
      <c r="E10" s="53" t="s">
        <v>37</v>
      </c>
      <c r="F10" s="53" t="s">
        <v>36</v>
      </c>
      <c r="G10" s="53" t="s">
        <v>142</v>
      </c>
      <c r="H10" s="58" t="s">
        <v>39</v>
      </c>
      <c r="I10" s="108"/>
    </row>
    <row r="11" spans="1:9" ht="21.6" x14ac:dyDescent="0.2">
      <c r="A11" s="59"/>
      <c r="B11" s="60" t="s">
        <v>141</v>
      </c>
      <c r="C11" s="114"/>
      <c r="D11" s="61">
        <v>0.9</v>
      </c>
      <c r="E11" s="61">
        <v>0.15</v>
      </c>
      <c r="F11" s="61">
        <v>0.15</v>
      </c>
      <c r="G11" s="57">
        <v>25</v>
      </c>
      <c r="H11" s="111">
        <f>G11*F11*E11*D11</f>
        <v>0.51</v>
      </c>
      <c r="I11" s="109"/>
    </row>
    <row r="12" spans="1:9" ht="21.6" x14ac:dyDescent="0.2">
      <c r="A12" s="59"/>
      <c r="B12" s="60" t="s">
        <v>141</v>
      </c>
      <c r="C12" s="114"/>
      <c r="D12" s="57">
        <v>0.9</v>
      </c>
      <c r="E12" s="57">
        <v>0.25</v>
      </c>
      <c r="F12" s="57">
        <v>0.45</v>
      </c>
      <c r="G12" s="57">
        <v>4</v>
      </c>
      <c r="H12" s="111">
        <f>G12*F12*E12*D12</f>
        <v>0.41</v>
      </c>
      <c r="I12" s="110"/>
    </row>
    <row r="13" spans="1:9" ht="21.6" x14ac:dyDescent="0.2">
      <c r="A13" s="59"/>
      <c r="B13" s="60" t="s">
        <v>143</v>
      </c>
      <c r="C13" s="114"/>
      <c r="D13" s="57">
        <v>0.2</v>
      </c>
      <c r="E13" s="57">
        <v>0.2</v>
      </c>
      <c r="F13" s="57">
        <f>27+25.4</f>
        <v>52.4</v>
      </c>
      <c r="G13" s="57"/>
      <c r="H13" s="111">
        <f>F13*E13*D13</f>
        <v>2.1</v>
      </c>
      <c r="I13" s="110"/>
    </row>
    <row r="14" spans="1:9" ht="21.6" x14ac:dyDescent="0.2">
      <c r="A14" s="59"/>
      <c r="B14" s="60" t="s">
        <v>207</v>
      </c>
      <c r="C14" s="114"/>
      <c r="D14" s="57">
        <v>0.15</v>
      </c>
      <c r="E14" s="57">
        <v>0.45</v>
      </c>
      <c r="F14" s="57">
        <v>25.4</v>
      </c>
      <c r="G14" s="57">
        <v>1</v>
      </c>
      <c r="H14" s="111">
        <f>G14*F14*E14*D14</f>
        <v>1.71</v>
      </c>
      <c r="I14" s="110">
        <f>SUM(H11:H14)</f>
        <v>4.7300000000000004</v>
      </c>
    </row>
    <row r="15" spans="1:9" ht="32.4" x14ac:dyDescent="0.2">
      <c r="A15" s="246" t="str">
        <f>'Planilha Orçamentária'!C11</f>
        <v>2.2</v>
      </c>
      <c r="B15" s="247" t="str">
        <f>'Planilha Orçamentária'!D11</f>
        <v>DEMOLIÇÃO DE PAVIMENTAÇÃO ASFÁLTICA COM UTILIZAÇÃO DE MARTELO PERFURADOR, ESPESSURA ATÉ 15 CM, EXCLUSIVE CARGA E TRANSPORTE</v>
      </c>
      <c r="C15" s="246" t="str">
        <f>'Planilha Orçamentária'!E11</f>
        <v>M²</v>
      </c>
      <c r="D15" s="53"/>
      <c r="E15" s="53"/>
      <c r="F15" s="53"/>
      <c r="G15" s="53" t="s">
        <v>64</v>
      </c>
      <c r="H15" s="58" t="s">
        <v>39</v>
      </c>
      <c r="I15" s="108"/>
    </row>
    <row r="16" spans="1:9" ht="21.6" x14ac:dyDescent="0.2">
      <c r="A16" s="59"/>
      <c r="B16" s="60" t="s">
        <v>118</v>
      </c>
      <c r="C16" s="116"/>
      <c r="D16" s="61"/>
      <c r="E16" s="61"/>
      <c r="F16" s="61"/>
      <c r="G16" s="61">
        <v>4.91</v>
      </c>
      <c r="H16" s="62">
        <f>G16</f>
        <v>4.91</v>
      </c>
      <c r="I16" s="109">
        <f>H16</f>
        <v>4.91</v>
      </c>
    </row>
    <row r="17" spans="1:9" ht="21.6" x14ac:dyDescent="0.2">
      <c r="A17" s="246" t="str">
        <f>'Planilha Orçamentária'!C12</f>
        <v>2.3</v>
      </c>
      <c r="B17" s="247" t="str">
        <f>'Planilha Orçamentária'!D12</f>
        <v>CARGA E DESCARGA MECANIZADAS DE ENTULHO EM CAMINHAO BASCULANTE 6 M3</v>
      </c>
      <c r="C17" s="246" t="str">
        <f>'Planilha Orçamentária'!E12</f>
        <v>M³</v>
      </c>
      <c r="D17" s="53"/>
      <c r="E17" s="53"/>
      <c r="F17" s="53" t="s">
        <v>64</v>
      </c>
      <c r="G17" s="53" t="s">
        <v>272</v>
      </c>
      <c r="H17" s="58" t="s">
        <v>39</v>
      </c>
      <c r="I17" s="108"/>
    </row>
    <row r="18" spans="1:9" x14ac:dyDescent="0.2">
      <c r="A18" s="59"/>
      <c r="B18" s="60" t="s">
        <v>271</v>
      </c>
      <c r="C18" s="116"/>
      <c r="D18" s="61"/>
      <c r="E18" s="61"/>
      <c r="F18" s="61"/>
      <c r="G18" s="61"/>
      <c r="H18" s="62">
        <f>I14</f>
        <v>4.7300000000000004</v>
      </c>
      <c r="I18" s="109"/>
    </row>
    <row r="19" spans="1:9" x14ac:dyDescent="0.2">
      <c r="A19" s="59"/>
      <c r="B19" s="60" t="s">
        <v>273</v>
      </c>
      <c r="C19" s="116"/>
      <c r="D19" s="61"/>
      <c r="E19" s="61"/>
      <c r="F19" s="61">
        <f>G16</f>
        <v>4.91</v>
      </c>
      <c r="G19" s="61">
        <v>0.15</v>
      </c>
      <c r="H19" s="62">
        <f>F19*G19</f>
        <v>0.74</v>
      </c>
      <c r="I19" s="110">
        <f>SUM(H18:H19)</f>
        <v>5.47</v>
      </c>
    </row>
    <row r="20" spans="1:9" ht="21.6" x14ac:dyDescent="0.2">
      <c r="A20" s="246" t="str">
        <f>'Planilha Orçamentária'!C13</f>
        <v>2.4</v>
      </c>
      <c r="B20" s="247" t="str">
        <f>'Planilha Orçamentária'!D13</f>
        <v>TRANSPORTE DE ENTULHO COM CAMINHAO BASCULANTE 6 M3, RODOVIA PAVIMENTADA, DMT 0,5 A 1,0 KM</v>
      </c>
      <c r="C20" s="246" t="str">
        <f>'Planilha Orçamentária'!E13</f>
        <v>M³</v>
      </c>
      <c r="D20" s="53"/>
      <c r="E20" s="53"/>
      <c r="F20" s="53"/>
      <c r="G20" s="53"/>
      <c r="H20" s="58" t="s">
        <v>39</v>
      </c>
      <c r="I20" s="108"/>
    </row>
    <row r="21" spans="1:9" x14ac:dyDescent="0.2">
      <c r="A21" s="59"/>
      <c r="B21" s="60" t="s">
        <v>250</v>
      </c>
      <c r="C21" s="116"/>
      <c r="D21" s="61"/>
      <c r="E21" s="61"/>
      <c r="F21" s="61"/>
      <c r="G21" s="61"/>
      <c r="H21" s="62">
        <f>H18</f>
        <v>4.7300000000000004</v>
      </c>
      <c r="I21" s="109">
        <f>H21</f>
        <v>4.7300000000000004</v>
      </c>
    </row>
    <row r="22" spans="1:9" x14ac:dyDescent="0.2">
      <c r="A22" s="47" t="s">
        <v>46</v>
      </c>
      <c r="B22" s="48" t="str">
        <f>'Planilha Orçamentária'!D15</f>
        <v>CANTEIRO DE OBRAS</v>
      </c>
      <c r="C22" s="49">
        <v>0</v>
      </c>
      <c r="D22" s="50"/>
      <c r="E22" s="50"/>
      <c r="F22" s="50"/>
      <c r="G22" s="50"/>
      <c r="H22" s="51"/>
      <c r="I22" s="107"/>
    </row>
    <row r="23" spans="1:9" ht="17.25" customHeight="1" x14ac:dyDescent="0.2">
      <c r="A23" s="246" t="str">
        <f>'Planilha Orçamentária'!C16</f>
        <v>3.1</v>
      </c>
      <c r="B23" s="247" t="str">
        <f>'Planilha Orçamentária'!D16</f>
        <v xml:space="preserve">PLACA DE OBRA EM CHAPA DE ACO GALVANIZADO </v>
      </c>
      <c r="C23" s="63" t="s">
        <v>86</v>
      </c>
      <c r="D23" s="53" t="s">
        <v>38</v>
      </c>
      <c r="E23" s="53" t="s">
        <v>37</v>
      </c>
      <c r="F23" s="53" t="s">
        <v>36</v>
      </c>
      <c r="G23" s="53" t="s">
        <v>64</v>
      </c>
      <c r="H23" s="58" t="s">
        <v>39</v>
      </c>
      <c r="I23" s="108"/>
    </row>
    <row r="24" spans="1:9" x14ac:dyDescent="0.2">
      <c r="A24" s="59"/>
      <c r="B24" s="60" t="s">
        <v>107</v>
      </c>
      <c r="C24" s="116"/>
      <c r="D24" s="61">
        <v>2.5</v>
      </c>
      <c r="E24" s="61">
        <v>4</v>
      </c>
      <c r="F24" s="61"/>
      <c r="G24" s="61"/>
      <c r="H24" s="62">
        <f>E24*D24</f>
        <v>10</v>
      </c>
      <c r="I24" s="109">
        <f>H24</f>
        <v>10</v>
      </c>
    </row>
    <row r="25" spans="1:9" ht="32.4" x14ac:dyDescent="0.2">
      <c r="A25" s="246" t="str">
        <f>'Planilha Orçamentária'!C17</f>
        <v>3.2</v>
      </c>
      <c r="B25" s="247" t="str">
        <f>'Planilha Orçamentária'!D17</f>
        <v>LOCACAO DE CONTAINER 2,30 X 6,00 M, ALT. 2,50 M, COM 1 SANITARIO, PARA ESCRITORIO, COMPLETO, SEM DIVISORIAS INTERNAS</v>
      </c>
      <c r="C25" s="63" t="s">
        <v>86</v>
      </c>
      <c r="D25" s="53"/>
      <c r="E25" s="53"/>
      <c r="F25" s="53"/>
      <c r="G25" s="53"/>
      <c r="H25" s="58" t="s">
        <v>39</v>
      </c>
      <c r="I25" s="108"/>
    </row>
    <row r="26" spans="1:9" x14ac:dyDescent="0.2">
      <c r="A26" s="59"/>
      <c r="B26" s="60" t="s">
        <v>249</v>
      </c>
      <c r="C26" s="116"/>
      <c r="D26" s="61"/>
      <c r="E26" s="61"/>
      <c r="F26" s="61"/>
      <c r="G26" s="61"/>
      <c r="H26" s="62">
        <v>4</v>
      </c>
      <c r="I26" s="109">
        <f>H26</f>
        <v>4</v>
      </c>
    </row>
    <row r="27" spans="1:9" ht="21.6" x14ac:dyDescent="0.2">
      <c r="A27" s="246" t="str">
        <f>'Planilha Orçamentária'!C18</f>
        <v>3.3</v>
      </c>
      <c r="B27" s="247" t="str">
        <f>'Planilha Orçamentária'!D18</f>
        <v>ENTRADA PROVISORIA DE ENERGIA ELETRICA AEREA TRIFASICA 40A EM POSTE MADEIRA</v>
      </c>
      <c r="C27" s="63" t="s">
        <v>86</v>
      </c>
      <c r="D27" s="53"/>
      <c r="E27" s="53"/>
      <c r="F27" s="53"/>
      <c r="G27" s="53"/>
      <c r="H27" s="58" t="s">
        <v>39</v>
      </c>
      <c r="I27" s="108"/>
    </row>
    <row r="28" spans="1:9" x14ac:dyDescent="0.2">
      <c r="A28" s="59"/>
      <c r="B28" s="60"/>
      <c r="C28" s="116"/>
      <c r="D28" s="61"/>
      <c r="E28" s="61"/>
      <c r="F28" s="61"/>
      <c r="G28" s="61"/>
      <c r="H28" s="62">
        <v>1</v>
      </c>
      <c r="I28" s="109">
        <f>H28</f>
        <v>1</v>
      </c>
    </row>
    <row r="29" spans="1:9" ht="32.4" x14ac:dyDescent="0.2">
      <c r="A29" s="246" t="str">
        <f>'Planilha Orçamentária'!C19</f>
        <v>3.4</v>
      </c>
      <c r="B29" s="247" t="str">
        <f>'Planilha Orçamentária'!D19</f>
        <v>KIT CAVALETE PARA MEDIÇÃO DE ÁGUA - ENTRADA PRINCIPAL, EM PVC SOLDÁVEL DN 20 (½") FORNECIMENTO E INSTALAÇÃO (EXCLUSIVE HIDRÔMETRO). AF_11/2016</v>
      </c>
      <c r="C29" s="63" t="s">
        <v>33</v>
      </c>
      <c r="D29" s="53"/>
      <c r="E29" s="53"/>
      <c r="F29" s="53"/>
      <c r="G29" s="53"/>
      <c r="H29" s="58" t="s">
        <v>39</v>
      </c>
      <c r="I29" s="108"/>
    </row>
    <row r="30" spans="1:9" x14ac:dyDescent="0.2">
      <c r="A30" s="59"/>
      <c r="B30" s="60"/>
      <c r="C30" s="116"/>
      <c r="D30" s="61"/>
      <c r="E30" s="61"/>
      <c r="F30" s="61"/>
      <c r="G30" s="61"/>
      <c r="H30" s="62">
        <v>1</v>
      </c>
      <c r="I30" s="109">
        <f>H30</f>
        <v>1</v>
      </c>
    </row>
    <row r="31" spans="1:9" ht="21.6" x14ac:dyDescent="0.2">
      <c r="A31" s="246" t="str">
        <f>'Planilha Orçamentária'!C20</f>
        <v>3.5</v>
      </c>
      <c r="B31" s="247" t="str">
        <f>'Planilha Orçamentária'!D20</f>
        <v>HIDRÔMETRO DN 20 (½), 1,5 M³/H FORNECIMENTO E INSTALAÇÃO. AF_11/2016</v>
      </c>
      <c r="C31" s="63" t="s">
        <v>86</v>
      </c>
      <c r="D31" s="53"/>
      <c r="E31" s="53"/>
      <c r="F31" s="53"/>
      <c r="G31" s="53"/>
      <c r="H31" s="58" t="s">
        <v>39</v>
      </c>
      <c r="I31" s="108"/>
    </row>
    <row r="32" spans="1:9" x14ac:dyDescent="0.2">
      <c r="A32" s="59"/>
      <c r="B32" s="60"/>
      <c r="C32" s="116"/>
      <c r="D32" s="61"/>
      <c r="E32" s="61"/>
      <c r="F32" s="61"/>
      <c r="G32" s="61"/>
      <c r="H32" s="62">
        <v>1</v>
      </c>
      <c r="I32" s="109">
        <f>H32</f>
        <v>1</v>
      </c>
    </row>
    <row r="33" spans="1:10" ht="34.200000000000003" customHeight="1" x14ac:dyDescent="0.2">
      <c r="A33" s="246" t="str">
        <f>'Planilha Orçamentária'!C21</f>
        <v>3.6</v>
      </c>
      <c r="B33" s="247" t="str">
        <f>'Planilha Orçamentária'!D21</f>
        <v>EXECUÇÃO DE CENTRAL DE ARMADURA EM CANTEIRO DE OBRA, NÃO INCLUSO MOBILIÁRIO E EQUIPAMENTOS. AF_04/2016</v>
      </c>
      <c r="C33" s="63" t="s">
        <v>86</v>
      </c>
      <c r="D33" s="53" t="s">
        <v>38</v>
      </c>
      <c r="E33" s="53" t="s">
        <v>37</v>
      </c>
      <c r="F33" s="53" t="s">
        <v>36</v>
      </c>
      <c r="G33" s="53" t="s">
        <v>64</v>
      </c>
      <c r="H33" s="58" t="s">
        <v>39</v>
      </c>
      <c r="I33" s="108"/>
    </row>
    <row r="34" spans="1:10" x14ac:dyDescent="0.2">
      <c r="A34" s="59"/>
      <c r="B34" s="60" t="s">
        <v>107</v>
      </c>
      <c r="C34" s="116"/>
      <c r="D34" s="61"/>
      <c r="E34" s="61">
        <v>2.2000000000000002</v>
      </c>
      <c r="F34" s="61">
        <v>6.2</v>
      </c>
      <c r="G34" s="61">
        <f>F34*E34</f>
        <v>13.64</v>
      </c>
      <c r="H34" s="62">
        <f>G34</f>
        <v>13.64</v>
      </c>
      <c r="I34" s="109">
        <f>H34</f>
        <v>13.64</v>
      </c>
    </row>
    <row r="35" spans="1:10" x14ac:dyDescent="0.2">
      <c r="A35" s="47" t="s">
        <v>53</v>
      </c>
      <c r="B35" s="48" t="str">
        <f>'Planilha Orçamentária'!D23</f>
        <v>ESTRUTURA DA PASSARELA</v>
      </c>
      <c r="C35" s="49">
        <v>0</v>
      </c>
      <c r="D35" s="135"/>
      <c r="E35" s="135"/>
      <c r="F35" s="135"/>
      <c r="G35" s="135"/>
      <c r="H35" s="137"/>
      <c r="I35" s="107"/>
    </row>
    <row r="36" spans="1:10" ht="25.8" customHeight="1" x14ac:dyDescent="0.2">
      <c r="A36" s="246" t="str">
        <f>'Planilha Orçamentária'!C24</f>
        <v>4.1</v>
      </c>
      <c r="B36" s="247" t="str">
        <f>'Planilha Orçamentária'!D24</f>
        <v>FORNECIMENTO E INSTALAÇÃO DE VIGA METÁLICA INCLUSIVE ANCORAGEM (ITEM 2 - SUPORTE 2)</v>
      </c>
      <c r="C36" s="246" t="str">
        <f>'Planilha Orçamentária'!E24</f>
        <v>UND</v>
      </c>
      <c r="D36" s="52"/>
      <c r="E36" s="53"/>
      <c r="F36" s="53"/>
      <c r="G36" s="53"/>
      <c r="H36" s="58" t="s">
        <v>39</v>
      </c>
      <c r="I36" s="108"/>
    </row>
    <row r="37" spans="1:10" x14ac:dyDescent="0.2">
      <c r="A37" s="59"/>
      <c r="B37" s="60" t="s">
        <v>252</v>
      </c>
      <c r="C37" s="116"/>
      <c r="D37" s="61"/>
      <c r="E37" s="61"/>
      <c r="F37" s="136"/>
      <c r="G37" s="61"/>
      <c r="H37" s="138">
        <v>4</v>
      </c>
      <c r="I37" s="110">
        <f>H37</f>
        <v>4</v>
      </c>
      <c r="J37" s="45">
        <f t="shared" ref="J37" si="0">E37*D37</f>
        <v>0</v>
      </c>
    </row>
    <row r="38" spans="1:10" ht="26.4" customHeight="1" x14ac:dyDescent="0.2">
      <c r="A38" s="246" t="str">
        <f>'Planilha Orçamentária'!C25</f>
        <v>4.2</v>
      </c>
      <c r="B38" s="247" t="str">
        <f>'Planilha Orçamentária'!D25</f>
        <v>FORNECIMENTO E INSTALAÇÃO DE VIGA METÁLICA INCLUSIVE ANCORAGEM (ITEM 3 - SUPORTE 3)</v>
      </c>
      <c r="C38" s="246" t="str">
        <f>'Planilha Orçamentária'!E25</f>
        <v>UND</v>
      </c>
      <c r="D38" s="52"/>
      <c r="E38" s="53"/>
      <c r="F38" s="53"/>
      <c r="G38" s="53"/>
      <c r="H38" s="58" t="s">
        <v>39</v>
      </c>
      <c r="I38" s="108"/>
    </row>
    <row r="39" spans="1:10" x14ac:dyDescent="0.2">
      <c r="A39" s="59"/>
      <c r="B39" s="60" t="s">
        <v>251</v>
      </c>
      <c r="C39" s="116"/>
      <c r="D39" s="136"/>
      <c r="E39" s="136"/>
      <c r="F39" s="136"/>
      <c r="G39" s="136"/>
      <c r="H39" s="138">
        <v>9</v>
      </c>
      <c r="I39" s="110">
        <f>H39</f>
        <v>9</v>
      </c>
      <c r="J39" s="45">
        <f>E39*D39</f>
        <v>0</v>
      </c>
    </row>
    <row r="40" spans="1:10" ht="27.6" customHeight="1" x14ac:dyDescent="0.2">
      <c r="A40" s="246" t="str">
        <f>'Planilha Orçamentária'!C26</f>
        <v>4.3</v>
      </c>
      <c r="B40" s="247" t="str">
        <f>'Planilha Orçamentária'!D26</f>
        <v>FORNECIMENTO E INSTALAÇÃO DE PLATAFORMA METÁLICA (ITEM 4 - PLATAFORMA)</v>
      </c>
      <c r="C40" s="246" t="str">
        <f>'Planilha Orçamentária'!E26</f>
        <v>UND</v>
      </c>
      <c r="D40" s="53"/>
      <c r="E40" s="103"/>
      <c r="F40" s="103"/>
      <c r="G40" s="53"/>
      <c r="H40" s="58" t="s">
        <v>39</v>
      </c>
      <c r="I40" s="108"/>
    </row>
    <row r="41" spans="1:10" x14ac:dyDescent="0.2">
      <c r="A41" s="59"/>
      <c r="B41" s="60" t="s">
        <v>253</v>
      </c>
      <c r="C41" s="116"/>
      <c r="D41" s="61"/>
      <c r="E41" s="61"/>
      <c r="F41" s="65"/>
      <c r="G41" s="61"/>
      <c r="H41" s="104">
        <v>35.65</v>
      </c>
      <c r="I41" s="109">
        <f>H41</f>
        <v>35.65</v>
      </c>
    </row>
    <row r="42" spans="1:10" ht="48" customHeight="1" x14ac:dyDescent="0.2">
      <c r="A42" s="246" t="str">
        <f>'Planilha Orçamentária'!C27</f>
        <v>4.4</v>
      </c>
      <c r="B42" s="247" t="str">
        <f>'Planilha Orçamentária'!D27</f>
        <v>GUINDAUTO HIDRÁULICO, CAPACIDADE MÁXIMA DE CARGA 3300 KG, MOMENTO MÁXIMO DE CARGA 5,8 TM, ALCANCE MÁXIMO HORIZONTAL 7,60 M, INCLUSIVE CAMINHÃO TOCO PBT 16.000 KG, POTÊNCIA DE 189 CV - CHP DIURNO. AF_03/2016</v>
      </c>
      <c r="C42" s="246" t="str">
        <f>'Planilha Orçamentária'!E27</f>
        <v>CHP</v>
      </c>
      <c r="D42" s="53"/>
      <c r="E42" s="103"/>
      <c r="F42" s="103" t="s">
        <v>171</v>
      </c>
      <c r="G42" s="53" t="s">
        <v>172</v>
      </c>
      <c r="H42" s="58" t="s">
        <v>39</v>
      </c>
      <c r="I42" s="108"/>
    </row>
    <row r="43" spans="1:10" x14ac:dyDescent="0.2">
      <c r="A43" s="59"/>
      <c r="B43" s="60" t="s">
        <v>170</v>
      </c>
      <c r="C43" s="116"/>
      <c r="D43" s="61"/>
      <c r="E43" s="61"/>
      <c r="F43" s="61">
        <v>3</v>
      </c>
      <c r="G43" s="61">
        <v>8</v>
      </c>
      <c r="H43" s="104">
        <f>G43*F43</f>
        <v>24</v>
      </c>
      <c r="I43" s="109">
        <f>H43</f>
        <v>24</v>
      </c>
    </row>
    <row r="44" spans="1:10" x14ac:dyDescent="0.2">
      <c r="A44" s="47" t="s">
        <v>56</v>
      </c>
      <c r="B44" s="48" t="str">
        <f>'Planilha Orçamentária'!D29</f>
        <v>COBERTURA DA PASSARELA</v>
      </c>
      <c r="C44" s="49">
        <v>0</v>
      </c>
      <c r="D44" s="50"/>
      <c r="E44" s="50"/>
      <c r="F44" s="50"/>
      <c r="G44" s="50"/>
      <c r="H44" s="51"/>
      <c r="I44" s="107"/>
    </row>
    <row r="45" spans="1:10" ht="26.4" customHeight="1" x14ac:dyDescent="0.2">
      <c r="A45" s="246" t="str">
        <f>'Planilha Orçamentária'!C30</f>
        <v>5.1</v>
      </c>
      <c r="B45" s="247" t="str">
        <f>'Planilha Orçamentária'!D30</f>
        <v>FORNECIMENTO E INSTALAÇÃO DE PILAR METÁLICO INCLUSIVE ANCORAGEM (ITEM 1 - SUPORTE 1)</v>
      </c>
      <c r="C45" s="246" t="str">
        <f>'Planilha Orçamentária'!E30</f>
        <v>UND</v>
      </c>
      <c r="D45" s="53"/>
      <c r="E45" s="53"/>
      <c r="F45" s="53"/>
      <c r="G45" s="53"/>
      <c r="H45" s="58" t="s">
        <v>39</v>
      </c>
      <c r="I45" s="108"/>
    </row>
    <row r="46" spans="1:10" ht="17.25" customHeight="1" x14ac:dyDescent="0.2">
      <c r="A46" s="59"/>
      <c r="B46" s="60" t="s">
        <v>254</v>
      </c>
      <c r="C46" s="116"/>
      <c r="D46" s="65"/>
      <c r="E46" s="61"/>
      <c r="F46" s="61"/>
      <c r="G46" s="61"/>
      <c r="H46" s="62">
        <v>7</v>
      </c>
      <c r="I46" s="109">
        <f>H46</f>
        <v>7</v>
      </c>
    </row>
    <row r="47" spans="1:10" ht="30" customHeight="1" x14ac:dyDescent="0.2">
      <c r="A47" s="246" t="str">
        <f>'Planilha Orçamentária'!C31</f>
        <v>5.2</v>
      </c>
      <c r="B47" s="247" t="str">
        <f>'Planilha Orçamentária'!D31</f>
        <v>FORNECIMENTO E INSTALAÇÃO DE TERÇAS PARA COBERTURA (ITEM 7 - TERÇA)</v>
      </c>
      <c r="C47" s="246" t="str">
        <f>'Planilha Orçamentária'!E31</f>
        <v>UND</v>
      </c>
      <c r="D47" s="53"/>
      <c r="E47" s="53"/>
      <c r="F47" s="53"/>
      <c r="G47" s="53"/>
      <c r="H47" s="58" t="s">
        <v>39</v>
      </c>
      <c r="I47" s="108"/>
    </row>
    <row r="48" spans="1:10" ht="16.5" customHeight="1" x14ac:dyDescent="0.2">
      <c r="A48" s="59"/>
      <c r="B48" s="60" t="s">
        <v>255</v>
      </c>
      <c r="C48" s="116"/>
      <c r="D48" s="65"/>
      <c r="E48" s="61"/>
      <c r="F48" s="61"/>
      <c r="G48" s="61"/>
      <c r="H48" s="62">
        <v>7</v>
      </c>
      <c r="I48" s="109">
        <f>H48</f>
        <v>7</v>
      </c>
    </row>
    <row r="49" spans="1:9" ht="49.2" customHeight="1" x14ac:dyDescent="0.2">
      <c r="A49" s="246" t="str">
        <f>'Planilha Orçamentária'!C32</f>
        <v>5.3</v>
      </c>
      <c r="B49" s="247" t="str">
        <f>'Planilha Orçamentária'!D32</f>
        <v>TRAMA DE AÇO COMPOSTA POR TERÇAS PARA TELHADOS DE ATÉ 2 ÁGUAS PARA TELHA ONDULADA DE FIBROCIMENTO, METÁLICA, PLÁSTICA OU TERMOACÚSTICA, INCLUSO TRANSPORTE VERTICAL. AF_12/2015.</v>
      </c>
      <c r="C49" s="246" t="str">
        <f>'Planilha Orçamentária'!E32</f>
        <v>M²</v>
      </c>
      <c r="D49" s="53"/>
      <c r="E49" s="103"/>
      <c r="F49" s="103"/>
      <c r="G49" s="53"/>
      <c r="H49" s="58" t="s">
        <v>39</v>
      </c>
      <c r="I49" s="108"/>
    </row>
    <row r="50" spans="1:9" ht="15.75" customHeight="1" x14ac:dyDescent="0.2">
      <c r="A50" s="59"/>
      <c r="B50" s="251" t="s">
        <v>147</v>
      </c>
      <c r="C50" s="116"/>
      <c r="D50" s="61"/>
      <c r="E50" s="61"/>
      <c r="F50" s="65"/>
      <c r="G50" s="61"/>
      <c r="H50" s="104">
        <v>63.55</v>
      </c>
      <c r="I50" s="109">
        <f>H50</f>
        <v>63.55</v>
      </c>
    </row>
    <row r="51" spans="1:9" ht="26.4" customHeight="1" x14ac:dyDescent="0.2">
      <c r="A51" s="246" t="str">
        <f>'Planilha Orçamentária'!C33</f>
        <v>5.4</v>
      </c>
      <c r="B51" s="247" t="str">
        <f>'Planilha Orçamentária'!D33</f>
        <v>TELHAMENTO COM TELHA METÁLICA TERMOACÚSTICA E = 30 MM, COM ATÉ 2 ÁGUAS, INCLUSO IÇAMENTO. AF_06/2016</v>
      </c>
      <c r="C51" s="246" t="str">
        <f>'Planilha Orçamentária'!E33</f>
        <v>M²</v>
      </c>
      <c r="D51" s="53"/>
      <c r="E51" s="103"/>
      <c r="F51" s="103"/>
      <c r="G51" s="53"/>
      <c r="H51" s="58" t="s">
        <v>39</v>
      </c>
      <c r="I51" s="108"/>
    </row>
    <row r="52" spans="1:9" ht="21" customHeight="1" x14ac:dyDescent="0.2">
      <c r="A52" s="59"/>
      <c r="B52" s="251" t="s">
        <v>147</v>
      </c>
      <c r="C52" s="116"/>
      <c r="D52" s="61"/>
      <c r="E52" s="61"/>
      <c r="F52" s="65"/>
      <c r="G52" s="61"/>
      <c r="H52" s="104">
        <v>63.55</v>
      </c>
      <c r="I52" s="109">
        <f>H52</f>
        <v>63.55</v>
      </c>
    </row>
    <row r="53" spans="1:9" ht="36.6" customHeight="1" x14ac:dyDescent="0.2">
      <c r="A53" s="246" t="str">
        <f>'Planilha Orçamentária'!C34</f>
        <v>5.5</v>
      </c>
      <c r="B53" s="247" t="str">
        <f>'Planilha Orçamentária'!D34</f>
        <v>CALHA EM CHAPA DE AÇO GALVANIZADO NÚMERO 24, DESENVOLVIMENTO DE 33 CM, INCLUSO TRANSPORTE VERTICAL. AF_06/2016</v>
      </c>
      <c r="C53" s="246" t="str">
        <f>'Planilha Orçamentária'!E34</f>
        <v>M</v>
      </c>
      <c r="D53" s="53"/>
      <c r="E53" s="103"/>
      <c r="F53" s="103"/>
      <c r="G53" s="53"/>
      <c r="H53" s="58" t="s">
        <v>39</v>
      </c>
      <c r="I53" s="108"/>
    </row>
    <row r="54" spans="1:9" x14ac:dyDescent="0.2">
      <c r="A54" s="59"/>
      <c r="B54" s="251" t="s">
        <v>177</v>
      </c>
      <c r="C54" s="116"/>
      <c r="D54" s="61"/>
      <c r="E54" s="61"/>
      <c r="F54" s="65"/>
      <c r="G54" s="61"/>
      <c r="H54" s="104">
        <f>1.33+0.55</f>
        <v>1.88</v>
      </c>
      <c r="I54" s="109">
        <f>H54</f>
        <v>1.88</v>
      </c>
    </row>
    <row r="55" spans="1:9" ht="27.6" customHeight="1" x14ac:dyDescent="0.2">
      <c r="A55" s="246" t="str">
        <f>'Planilha Orçamentária'!C35</f>
        <v>5.6</v>
      </c>
      <c r="B55" s="247" t="str">
        <f>'Planilha Orçamentária'!D35</f>
        <v>IMPERMEABILIZACAO DE SUPERFICIE COM ASFALTO ELASTOMERICO, INCLUSOS PRIMER E VEU DE FIBRA DE VIDRO.</v>
      </c>
      <c r="C55" s="246" t="str">
        <f>'Planilha Orçamentária'!E35</f>
        <v>M²</v>
      </c>
      <c r="D55" s="53"/>
      <c r="E55" s="103" t="s">
        <v>36</v>
      </c>
      <c r="F55" s="103" t="s">
        <v>37</v>
      </c>
      <c r="G55" s="53" t="s">
        <v>157</v>
      </c>
      <c r="H55" s="58" t="s">
        <v>39</v>
      </c>
      <c r="I55" s="108"/>
    </row>
    <row r="56" spans="1:9" x14ac:dyDescent="0.2">
      <c r="A56" s="59"/>
      <c r="B56" s="60" t="s">
        <v>177</v>
      </c>
      <c r="C56" s="116"/>
      <c r="D56" s="61"/>
      <c r="E56" s="249">
        <v>0.43</v>
      </c>
      <c r="F56" s="252">
        <v>0.33</v>
      </c>
      <c r="G56" s="249">
        <v>14</v>
      </c>
      <c r="H56" s="250">
        <f>G56*F56*E56</f>
        <v>1.99</v>
      </c>
      <c r="I56" s="109">
        <f>H56</f>
        <v>1.99</v>
      </c>
    </row>
    <row r="57" spans="1:9" x14ac:dyDescent="0.2">
      <c r="A57" s="47" t="s">
        <v>40</v>
      </c>
      <c r="B57" s="48" t="str">
        <f>'Planilha Orçamentária'!D37</f>
        <v>INTALAÇÕES ELÉTRICAS</v>
      </c>
      <c r="C57" s="49">
        <v>0</v>
      </c>
      <c r="D57" s="50"/>
      <c r="E57" s="50"/>
      <c r="F57" s="50"/>
      <c r="G57" s="50"/>
      <c r="H57" s="51"/>
      <c r="I57" s="107"/>
    </row>
    <row r="58" spans="1:9" ht="43.2" x14ac:dyDescent="0.2">
      <c r="A58" s="246" t="str">
        <f>'Planilha Orçamentária'!C38</f>
        <v>6.1</v>
      </c>
      <c r="B58" s="102" t="str">
        <f>'Planilha Orçamentária'!D38</f>
        <v>QUADRO DE DISTRIBUICAO DE ENERGIA DE EMBUTIR, EM CHAPA METALICA, PARA 3 DISJUNTORES TERMOMAGNETICOS MONOPOLARES SEM BARRAMENTO FORNECIMENTO E INSTALACAO</v>
      </c>
      <c r="C58" s="63" t="s">
        <v>33</v>
      </c>
      <c r="D58" s="53"/>
      <c r="E58" s="53"/>
      <c r="F58" s="53"/>
      <c r="G58" s="53"/>
      <c r="H58" s="58" t="s">
        <v>39</v>
      </c>
      <c r="I58" s="108"/>
    </row>
    <row r="59" spans="1:9" x14ac:dyDescent="0.2">
      <c r="A59" s="59"/>
      <c r="B59" s="60" t="s">
        <v>114</v>
      </c>
      <c r="C59" s="116"/>
      <c r="D59" s="61"/>
      <c r="E59" s="61"/>
      <c r="F59" s="61"/>
      <c r="G59" s="61"/>
      <c r="H59" s="62">
        <v>1</v>
      </c>
      <c r="I59" s="109">
        <f>H59</f>
        <v>1</v>
      </c>
    </row>
    <row r="60" spans="1:9" ht="21.6" x14ac:dyDescent="0.2">
      <c r="A60" s="246" t="str">
        <f>'Planilha Orçamentária'!C39</f>
        <v>6.2</v>
      </c>
      <c r="B60" s="102" t="str">
        <f>'Planilha Orçamentária'!D39</f>
        <v>DISJUNTOR MONOPOLAR TIPO DIN, CORRENTE NOMINAL DE 10A - FORNECIMENTO E INSTALAÇÃO</v>
      </c>
      <c r="C60" s="63" t="s">
        <v>33</v>
      </c>
      <c r="D60" s="53"/>
      <c r="E60" s="53"/>
      <c r="F60" s="53"/>
      <c r="G60" s="53"/>
      <c r="H60" s="58" t="s">
        <v>39</v>
      </c>
      <c r="I60" s="108"/>
    </row>
    <row r="61" spans="1:9" x14ac:dyDescent="0.2">
      <c r="A61" s="59"/>
      <c r="B61" s="60" t="s">
        <v>114</v>
      </c>
      <c r="C61" s="116"/>
      <c r="D61" s="61"/>
      <c r="E61" s="61"/>
      <c r="F61" s="61"/>
      <c r="G61" s="61"/>
      <c r="H61" s="62">
        <v>1</v>
      </c>
      <c r="I61" s="109">
        <f>H61</f>
        <v>1</v>
      </c>
    </row>
    <row r="62" spans="1:9" ht="21.6" x14ac:dyDescent="0.2">
      <c r="A62" s="246" t="str">
        <f>'Planilha Orçamentária'!C40</f>
        <v>6.3</v>
      </c>
      <c r="B62" s="102" t="str">
        <f>'Planilha Orçamentária'!D40</f>
        <v>RELE FOTOELETRICO P/ COMANDO DE ILUMINACAO EXTERNA 220V/1000W - FORNECIMENTO E INSTALACAO</v>
      </c>
      <c r="C62" s="63" t="s">
        <v>33</v>
      </c>
      <c r="D62" s="53"/>
      <c r="E62" s="53"/>
      <c r="F62" s="53"/>
      <c r="G62" s="53"/>
      <c r="H62" s="58" t="s">
        <v>39</v>
      </c>
      <c r="I62" s="108"/>
    </row>
    <row r="63" spans="1:9" x14ac:dyDescent="0.2">
      <c r="A63" s="59"/>
      <c r="B63" s="60" t="s">
        <v>114</v>
      </c>
      <c r="C63" s="116"/>
      <c r="D63" s="61"/>
      <c r="E63" s="61"/>
      <c r="F63" s="61"/>
      <c r="G63" s="61"/>
      <c r="H63" s="62">
        <v>1</v>
      </c>
      <c r="I63" s="109">
        <f>H63</f>
        <v>1</v>
      </c>
    </row>
    <row r="64" spans="1:9" ht="21.6" x14ac:dyDescent="0.2">
      <c r="A64" s="246" t="str">
        <f>'Planilha Orçamentária'!C41</f>
        <v>6.4</v>
      </c>
      <c r="B64" s="102" t="str">
        <f>'Planilha Orçamentária'!D41</f>
        <v>LUMINÁRIA ARANDELA TIPO TARTARUGA PARA 1 LÂMPADA LED - FORNECIMENTO E INSTALAÇÃO. AF_11/2017</v>
      </c>
      <c r="C64" s="63" t="s">
        <v>33</v>
      </c>
      <c r="D64" s="53"/>
      <c r="E64" s="53"/>
      <c r="F64" s="53"/>
      <c r="G64" s="53"/>
      <c r="H64" s="58" t="s">
        <v>39</v>
      </c>
      <c r="I64" s="108"/>
    </row>
    <row r="65" spans="1:14" x14ac:dyDescent="0.2">
      <c r="A65" s="59"/>
      <c r="B65" s="60" t="s">
        <v>114</v>
      </c>
      <c r="C65" s="116"/>
      <c r="D65" s="61"/>
      <c r="E65" s="61"/>
      <c r="F65" s="61"/>
      <c r="G65" s="61"/>
      <c r="H65" s="62">
        <v>7</v>
      </c>
      <c r="I65" s="109">
        <f>H65</f>
        <v>7</v>
      </c>
    </row>
    <row r="66" spans="1:14" x14ac:dyDescent="0.2">
      <c r="A66" s="246" t="str">
        <f>'Planilha Orçamentária'!C42</f>
        <v>6.5</v>
      </c>
      <c r="B66" s="102" t="str">
        <f>'Planilha Orçamentária'!D42</f>
        <v xml:space="preserve">CAIXA DE PASSAGEM 30X30X40 COM TAMPA E DRENO BRITA </v>
      </c>
      <c r="C66" s="63" t="s">
        <v>33</v>
      </c>
      <c r="D66" s="53"/>
      <c r="E66" s="53"/>
      <c r="F66" s="53"/>
      <c r="G66" s="53"/>
      <c r="H66" s="58" t="s">
        <v>39</v>
      </c>
      <c r="I66" s="108"/>
    </row>
    <row r="67" spans="1:14" x14ac:dyDescent="0.2">
      <c r="A67" s="59"/>
      <c r="B67" s="60" t="s">
        <v>114</v>
      </c>
      <c r="C67" s="116"/>
      <c r="D67" s="61"/>
      <c r="E67" s="61"/>
      <c r="F67" s="61"/>
      <c r="G67" s="61"/>
      <c r="H67" s="62">
        <v>1</v>
      </c>
      <c r="I67" s="109">
        <f>H67</f>
        <v>1</v>
      </c>
    </row>
    <row r="68" spans="1:14" ht="32.4" x14ac:dyDescent="0.2">
      <c r="A68" s="246" t="str">
        <f>'Planilha Orçamentária'!C43</f>
        <v>6.6</v>
      </c>
      <c r="B68" s="102" t="str">
        <f>'Planilha Orçamentária'!D43</f>
        <v>DUTO ESPIRAL FLEXIVEL SINGELO PEAD D=50MM(2") REVESTIDO COM PVC COM FIO GUIA DE ACO GALVANIZADO, LANCADO DIRETO NO SOLO, INCL CONEXOES</v>
      </c>
      <c r="C68" s="63" t="s">
        <v>87</v>
      </c>
      <c r="D68" s="53"/>
      <c r="E68" s="53"/>
      <c r="F68" s="53"/>
      <c r="G68" s="53"/>
      <c r="H68" s="58" t="s">
        <v>39</v>
      </c>
      <c r="I68" s="108"/>
      <c r="J68" s="64"/>
      <c r="K68" s="64"/>
      <c r="L68" s="64"/>
      <c r="M68" s="64"/>
      <c r="N68" s="64"/>
    </row>
    <row r="69" spans="1:14" x14ac:dyDescent="0.2">
      <c r="A69" s="59"/>
      <c r="B69" s="60" t="s">
        <v>114</v>
      </c>
      <c r="C69" s="116"/>
      <c r="D69" s="61"/>
      <c r="E69" s="61"/>
      <c r="F69" s="61"/>
      <c r="G69" s="61"/>
      <c r="H69" s="62">
        <v>4</v>
      </c>
      <c r="I69" s="109">
        <f>H69</f>
        <v>4</v>
      </c>
      <c r="J69" s="64"/>
      <c r="K69" s="64"/>
      <c r="L69" s="64"/>
      <c r="M69" s="64"/>
      <c r="N69" s="64"/>
    </row>
    <row r="70" spans="1:14" ht="32.4" x14ac:dyDescent="0.2">
      <c r="A70" s="246" t="str">
        <f>'Planilha Orçamentária'!C44</f>
        <v>6.7</v>
      </c>
      <c r="B70" s="102" t="str">
        <f>'Planilha Orçamentária'!D44</f>
        <v>ELETRODUTO DE AÇO GALVANIZADO, CLASSE LEVE, DN 20 MM (3/4), APARENTE , INSTALADO EM TETO - FORNECIMENTO E INSTALAÇÃO. AF_11/2016_P</v>
      </c>
      <c r="C70" s="63" t="s">
        <v>87</v>
      </c>
      <c r="D70" s="53"/>
      <c r="E70" s="53"/>
      <c r="F70" s="53"/>
      <c r="G70" s="53"/>
      <c r="H70" s="58" t="s">
        <v>39</v>
      </c>
      <c r="I70" s="108"/>
    </row>
    <row r="71" spans="1:14" ht="21" x14ac:dyDescent="0.2">
      <c r="A71" s="59"/>
      <c r="B71" s="60" t="s">
        <v>339</v>
      </c>
      <c r="C71" s="116"/>
      <c r="D71" s="61"/>
      <c r="E71" s="61"/>
      <c r="F71" s="61"/>
      <c r="G71" s="61"/>
      <c r="H71" s="62">
        <v>3</v>
      </c>
      <c r="I71" s="109">
        <f>H71</f>
        <v>3</v>
      </c>
    </row>
    <row r="72" spans="1:14" ht="32.4" x14ac:dyDescent="0.2">
      <c r="A72" s="246" t="str">
        <f>'Planilha Orçamentária'!C45</f>
        <v>6.8</v>
      </c>
      <c r="B72" s="102" t="str">
        <f>'Planilha Orçamentária'!D45</f>
        <v>CABO DE COBRE FLEXÍVEL ISOLADO, 2,5 MM², ANTI-CHAMA 450/750 V, PARA CIRCUITOS TERMINAIS - FORNECIMENTO E INSTALAÇÃO.</v>
      </c>
      <c r="C72" s="63" t="s">
        <v>87</v>
      </c>
      <c r="D72" s="53"/>
      <c r="E72" s="53"/>
      <c r="F72" s="53"/>
      <c r="G72" s="53"/>
      <c r="H72" s="58" t="s">
        <v>39</v>
      </c>
      <c r="I72" s="108"/>
    </row>
    <row r="73" spans="1:14" x14ac:dyDescent="0.2">
      <c r="A73" s="59"/>
      <c r="B73" s="60" t="s">
        <v>114</v>
      </c>
      <c r="C73" s="116"/>
      <c r="D73" s="61"/>
      <c r="E73" s="61"/>
      <c r="F73" s="61"/>
      <c r="G73" s="61"/>
      <c r="H73" s="62">
        <v>94.3</v>
      </c>
      <c r="I73" s="109">
        <f>H73</f>
        <v>94.3</v>
      </c>
    </row>
    <row r="74" spans="1:14" ht="21.6" x14ac:dyDescent="0.2">
      <c r="A74" s="246" t="str">
        <f>'Planilha Orçamentária'!C46</f>
        <v>6.9</v>
      </c>
      <c r="B74" s="102" t="str">
        <f>'Planilha Orçamentária'!D46</f>
        <v>HASTE DE ATERRAMENTO 5/8 PARA SPDA - FORNECIMENTO E INSTALAÇÃO.</v>
      </c>
      <c r="C74" s="63" t="s">
        <v>19</v>
      </c>
      <c r="D74" s="53"/>
      <c r="E74" s="53"/>
      <c r="F74" s="53"/>
      <c r="G74" s="53"/>
      <c r="H74" s="58" t="s">
        <v>39</v>
      </c>
      <c r="I74" s="108"/>
      <c r="J74" s="64"/>
      <c r="K74" s="64"/>
      <c r="L74" s="64"/>
      <c r="M74" s="64"/>
      <c r="N74" s="64"/>
    </row>
    <row r="75" spans="1:14" x14ac:dyDescent="0.2">
      <c r="A75" s="59"/>
      <c r="B75" s="60" t="s">
        <v>114</v>
      </c>
      <c r="C75" s="116"/>
      <c r="D75" s="61"/>
      <c r="E75" s="61"/>
      <c r="F75" s="61"/>
      <c r="G75" s="61"/>
      <c r="H75" s="62">
        <v>1</v>
      </c>
      <c r="I75" s="109">
        <f>H75</f>
        <v>1</v>
      </c>
      <c r="J75" s="64"/>
      <c r="K75" s="64"/>
      <c r="L75" s="64"/>
      <c r="M75" s="64"/>
      <c r="N75" s="64"/>
    </row>
    <row r="76" spans="1:14" x14ac:dyDescent="0.2">
      <c r="A76" s="47" t="s">
        <v>105</v>
      </c>
      <c r="B76" s="48" t="str">
        <f>'Planilha Orçamentária'!D49</f>
        <v>SERVIÇOS COMPLEMENTARES</v>
      </c>
      <c r="C76" s="49">
        <v>0</v>
      </c>
      <c r="D76" s="50"/>
      <c r="E76" s="50"/>
      <c r="F76" s="50"/>
      <c r="G76" s="50"/>
      <c r="H76" s="51"/>
      <c r="I76" s="107"/>
    </row>
    <row r="77" spans="1:14" ht="32.4" x14ac:dyDescent="0.2">
      <c r="A77" s="246" t="str">
        <f>'Planilha Orçamentária'!C50</f>
        <v>7.1</v>
      </c>
      <c r="B77" s="247" t="str">
        <f>'Planilha Orçamentária'!D50</f>
        <v>EXECUÇÃO DE PASSEIO (CALÇADA) OU PISO DE CONCRETO COM CONCRETO MOLDADOIN LOCO, FEITO EM OBRA, ACABAMENTO CONVENCIONAL, NÃO ARMADO. AF_07/2016</v>
      </c>
      <c r="C77" s="246" t="str">
        <f>'Planilha Orçamentária'!E50</f>
        <v>M³</v>
      </c>
      <c r="D77" s="53" t="s">
        <v>38</v>
      </c>
      <c r="E77" s="53"/>
      <c r="F77" s="53"/>
      <c r="G77" s="53" t="s">
        <v>64</v>
      </c>
      <c r="H77" s="58" t="s">
        <v>39</v>
      </c>
      <c r="I77" s="108"/>
    </row>
    <row r="78" spans="1:14" ht="21.6" x14ac:dyDescent="0.2">
      <c r="A78" s="59"/>
      <c r="B78" s="60" t="s">
        <v>115</v>
      </c>
      <c r="C78" s="116"/>
      <c r="D78" s="61">
        <v>0.06</v>
      </c>
      <c r="E78" s="61"/>
      <c r="F78" s="61"/>
      <c r="G78" s="61">
        <v>8.2899999999999991</v>
      </c>
      <c r="H78" s="62">
        <f>G78*D78</f>
        <v>0.5</v>
      </c>
      <c r="I78" s="109"/>
    </row>
    <row r="79" spans="1:14" ht="21.6" x14ac:dyDescent="0.2">
      <c r="A79" s="59"/>
      <c r="B79" s="60" t="s">
        <v>115</v>
      </c>
      <c r="C79" s="116"/>
      <c r="D79" s="61">
        <v>0.06</v>
      </c>
      <c r="E79" s="61"/>
      <c r="F79" s="61"/>
      <c r="G79" s="61">
        <v>2.0699999999999998</v>
      </c>
      <c r="H79" s="62">
        <f>G79*D79</f>
        <v>0.12</v>
      </c>
      <c r="I79" s="110">
        <f>SUM(H78:H79)</f>
        <v>0.62</v>
      </c>
    </row>
    <row r="80" spans="1:14" ht="32.4" x14ac:dyDescent="0.2">
      <c r="A80" s="246" t="str">
        <f>'Planilha Orçamentária'!C51</f>
        <v>7.2</v>
      </c>
      <c r="B80" s="247" t="str">
        <f>'Planilha Orçamentária'!D51</f>
        <v>PISO CIMENTADO, TRAÇO 1:3 (CIMENTO E AREIA), ACABAMENTO LISO, ESPESSURA 2,0 CM, PREPARO MECÂNICO DA ARGAMASSA. AF_06/2018</v>
      </c>
      <c r="C80" s="246" t="str">
        <f>'Planilha Orçamentária'!E51</f>
        <v>M²</v>
      </c>
      <c r="D80" s="53"/>
      <c r="E80" s="53" t="s">
        <v>37</v>
      </c>
      <c r="F80" s="53" t="s">
        <v>117</v>
      </c>
      <c r="G80" s="53"/>
      <c r="H80" s="58" t="s">
        <v>39</v>
      </c>
      <c r="I80" s="108"/>
    </row>
    <row r="81" spans="1:14" ht="21.6" x14ac:dyDescent="0.2">
      <c r="A81" s="59"/>
      <c r="B81" s="60" t="s">
        <v>116</v>
      </c>
      <c r="C81" s="116"/>
      <c r="D81" s="61"/>
      <c r="E81" s="61">
        <v>0.45</v>
      </c>
      <c r="F81" s="61">
        <v>27</v>
      </c>
      <c r="G81" s="61"/>
      <c r="H81" s="62">
        <f>F81*E81</f>
        <v>12.15</v>
      </c>
      <c r="I81" s="109">
        <f>H81</f>
        <v>12.15</v>
      </c>
    </row>
    <row r="82" spans="1:14" ht="54" x14ac:dyDescent="0.2">
      <c r="A82" s="246" t="str">
        <f>'Planilha Orçamentária'!C52</f>
        <v>7.3</v>
      </c>
      <c r="B82" s="247" t="str">
        <f>'Planilha Orçamentária'!D52</f>
        <v>ASSENTAMENTO DE GUIA (MEIO-FIO) EM TRECHO CURVO, CONFECCIONADA EM CONCRETO PRÉ-FABRICADO, DIMENSÕES 100X15X13X30 CM (COMPRIMENTO X BASE INFERIOR X BASE SUPERIOR X ALTURA), PARA VIAS URBANAS (USO VIÁRIO). AF_06/2016</v>
      </c>
      <c r="C82" s="246" t="str">
        <f>'Planilha Orçamentária'!E52</f>
        <v>M</v>
      </c>
      <c r="D82" s="53"/>
      <c r="E82" s="53"/>
      <c r="F82" s="53"/>
      <c r="G82" s="53"/>
      <c r="H82" s="58" t="s">
        <v>39</v>
      </c>
      <c r="I82" s="108"/>
    </row>
    <row r="83" spans="1:14" ht="21.6" x14ac:dyDescent="0.2">
      <c r="A83" s="59"/>
      <c r="B83" s="60" t="s">
        <v>118</v>
      </c>
      <c r="C83" s="116"/>
      <c r="D83" s="61"/>
      <c r="E83" s="61"/>
      <c r="F83" s="61"/>
      <c r="G83" s="61"/>
      <c r="H83" s="62">
        <v>6.81</v>
      </c>
      <c r="I83" s="109"/>
    </row>
    <row r="84" spans="1:14" x14ac:dyDescent="0.2">
      <c r="A84" s="59"/>
      <c r="B84" s="60" t="s">
        <v>256</v>
      </c>
      <c r="C84" s="116"/>
      <c r="D84" s="61"/>
      <c r="E84" s="61"/>
      <c r="F84" s="61"/>
      <c r="G84" s="61"/>
      <c r="H84" s="62">
        <v>1.64</v>
      </c>
      <c r="I84" s="110">
        <f>SUM(H83:H84)</f>
        <v>8.4499999999999993</v>
      </c>
    </row>
    <row r="85" spans="1:14" ht="31.2" customHeight="1" x14ac:dyDescent="0.2">
      <c r="A85" s="246" t="str">
        <f>'Planilha Orçamentária'!C53</f>
        <v>7.4</v>
      </c>
      <c r="B85" s="247" t="str">
        <f>'Planilha Orçamentária'!D53</f>
        <v>PREPARO DE FUNDO DE VALA COM LARGURA MENOR QUE 1,5 M, EM LOCAL COM NÍVEL ALTO DE INTERFERÊNCIA. AF_06/2016</v>
      </c>
      <c r="C85" s="246" t="str">
        <f>'Planilha Orçamentária'!E53</f>
        <v>M²</v>
      </c>
      <c r="D85" s="53"/>
      <c r="E85" s="53"/>
      <c r="F85" s="53"/>
      <c r="G85" s="53"/>
      <c r="H85" s="58" t="s">
        <v>39</v>
      </c>
      <c r="I85" s="108"/>
    </row>
    <row r="86" spans="1:14" ht="21.6" x14ac:dyDescent="0.2">
      <c r="A86" s="59"/>
      <c r="B86" s="60" t="s">
        <v>118</v>
      </c>
      <c r="C86" s="116"/>
      <c r="D86" s="61"/>
      <c r="E86" s="61"/>
      <c r="F86" s="61"/>
      <c r="G86" s="61"/>
      <c r="H86" s="62">
        <v>4.1100000000000003</v>
      </c>
      <c r="I86" s="109">
        <f>H86</f>
        <v>4.1100000000000003</v>
      </c>
    </row>
    <row r="87" spans="1:14" x14ac:dyDescent="0.2">
      <c r="A87" s="246" t="str">
        <f>'Planilha Orçamentária'!C54</f>
        <v>7.5</v>
      </c>
      <c r="B87" s="247" t="str">
        <f>'Planilha Orçamentária'!D54</f>
        <v xml:space="preserve">PLANTIO DE GRAMA EM PLACAS. AF_05/2018 </v>
      </c>
      <c r="C87" s="246" t="str">
        <f>'Planilha Orçamentária'!E54</f>
        <v>M²</v>
      </c>
      <c r="D87" s="53"/>
      <c r="E87" s="53"/>
      <c r="F87" s="53"/>
      <c r="G87" s="53"/>
      <c r="H87" s="58" t="s">
        <v>39</v>
      </c>
      <c r="I87" s="108"/>
    </row>
    <row r="88" spans="1:14" ht="21.6" x14ac:dyDescent="0.2">
      <c r="A88" s="59"/>
      <c r="B88" s="60" t="s">
        <v>118</v>
      </c>
      <c r="C88" s="116"/>
      <c r="D88" s="61"/>
      <c r="E88" s="61"/>
      <c r="F88" s="61"/>
      <c r="G88" s="61"/>
      <c r="H88" s="62">
        <v>4.1100000000000003</v>
      </c>
      <c r="I88" s="109">
        <f>H88</f>
        <v>4.1100000000000003</v>
      </c>
    </row>
    <row r="89" spans="1:14" x14ac:dyDescent="0.2">
      <c r="A89" s="246" t="str">
        <f>'Planilha Orçamentária'!C55</f>
        <v>7.6</v>
      </c>
      <c r="B89" s="247" t="str">
        <f>'Planilha Orçamentária'!D55</f>
        <v>GUARDA-CORPO EM TUBO DE ACO GALVANIZADO (TIPO 1)</v>
      </c>
      <c r="C89" s="246" t="str">
        <f>'Planilha Orçamentária'!E55</f>
        <v>M</v>
      </c>
      <c r="D89" s="53"/>
      <c r="E89" s="53"/>
      <c r="F89" s="53"/>
      <c r="G89" s="53"/>
      <c r="H89" s="58" t="s">
        <v>39</v>
      </c>
      <c r="I89" s="108"/>
      <c r="J89" s="64"/>
      <c r="K89" s="64"/>
      <c r="L89" s="64"/>
      <c r="M89" s="64"/>
      <c r="N89" s="64"/>
    </row>
    <row r="90" spans="1:14" x14ac:dyDescent="0.2">
      <c r="A90" s="59"/>
      <c r="B90" s="60" t="s">
        <v>119</v>
      </c>
      <c r="C90" s="116"/>
      <c r="D90" s="61"/>
      <c r="E90" s="61"/>
      <c r="F90" s="61"/>
      <c r="G90" s="61"/>
      <c r="H90" s="61">
        <v>25.15</v>
      </c>
      <c r="I90" s="109"/>
      <c r="J90" s="64"/>
      <c r="K90" s="64"/>
      <c r="L90" s="64"/>
      <c r="M90" s="64"/>
      <c r="N90" s="64"/>
    </row>
    <row r="91" spans="1:14" x14ac:dyDescent="0.2">
      <c r="A91" s="59"/>
      <c r="B91" s="60" t="s">
        <v>120</v>
      </c>
      <c r="C91" s="116"/>
      <c r="D91" s="61"/>
      <c r="E91" s="61"/>
      <c r="F91" s="61"/>
      <c r="G91" s="61"/>
      <c r="H91" s="61">
        <v>25.95</v>
      </c>
      <c r="I91" s="109">
        <f>SUM(H90:H91)</f>
        <v>51.1</v>
      </c>
      <c r="J91" s="64"/>
      <c r="K91" s="64"/>
      <c r="L91" s="64"/>
      <c r="M91" s="64"/>
      <c r="N91" s="64"/>
    </row>
    <row r="92" spans="1:14" ht="22.5" customHeight="1" x14ac:dyDescent="0.2">
      <c r="A92" s="246" t="str">
        <f>'Planilha Orçamentária'!C56</f>
        <v>7.7</v>
      </c>
      <c r="B92" s="247" t="str">
        <f>'Planilha Orçamentária'!D56</f>
        <v>GUARDA-CORPO EM TUBO DE ACO GALVANIZADO (TIPO 2)</v>
      </c>
      <c r="C92" s="246" t="str">
        <f>'Planilha Orçamentária'!E56</f>
        <v>M</v>
      </c>
      <c r="D92" s="53"/>
      <c r="E92" s="103"/>
      <c r="F92" s="103"/>
      <c r="G92" s="53"/>
      <c r="H92" s="58" t="s">
        <v>39</v>
      </c>
      <c r="I92" s="108"/>
      <c r="J92" s="64"/>
      <c r="K92" s="64"/>
      <c r="L92" s="64"/>
      <c r="M92" s="64"/>
      <c r="N92" s="64"/>
    </row>
    <row r="93" spans="1:14" x14ac:dyDescent="0.2">
      <c r="A93" s="59"/>
      <c r="B93" s="60" t="s">
        <v>257</v>
      </c>
      <c r="C93" s="116"/>
      <c r="D93" s="61"/>
      <c r="E93" s="61"/>
      <c r="F93" s="61"/>
      <c r="G93" s="61"/>
      <c r="H93" s="61">
        <v>27</v>
      </c>
      <c r="I93" s="109">
        <f>H93</f>
        <v>27</v>
      </c>
      <c r="J93" s="64"/>
      <c r="K93" s="64"/>
      <c r="L93" s="64"/>
      <c r="M93" s="64"/>
      <c r="N93" s="64"/>
    </row>
    <row r="94" spans="1:14" ht="51.75" customHeight="1" x14ac:dyDescent="0.2">
      <c r="A94" s="246" t="str">
        <f>'Planilha Orçamentária'!C57</f>
        <v>7.8</v>
      </c>
      <c r="B94" s="247" t="str">
        <f>'Planilha Orçamentária'!D57</f>
        <v>PINTURA ESMALTE FOSCO, DUAS DEMAOS, SOBRE SUPERFICIE METALICA, INCLUSO UMA DEMAO DE FUNDO ANTICORROSIVO. UTILIZACAO DE REVOLVER ( AR-COMPRIMIDO)</v>
      </c>
      <c r="C94" s="246" t="str">
        <f>'Planilha Orçamentária'!E57</f>
        <v>M²</v>
      </c>
      <c r="D94" s="53"/>
      <c r="E94" s="103"/>
      <c r="F94" s="103"/>
      <c r="G94" s="53"/>
      <c r="H94" s="58" t="s">
        <v>39</v>
      </c>
      <c r="I94" s="108"/>
      <c r="J94" s="64"/>
      <c r="K94" s="64"/>
      <c r="L94" s="64"/>
      <c r="M94" s="64"/>
      <c r="N94" s="64"/>
    </row>
    <row r="95" spans="1:14" x14ac:dyDescent="0.2">
      <c r="A95" s="59"/>
      <c r="B95" s="180" t="s">
        <v>188</v>
      </c>
      <c r="C95" s="116"/>
      <c r="D95" s="61"/>
      <c r="E95" s="103" t="s">
        <v>36</v>
      </c>
      <c r="F95" s="53" t="s">
        <v>38</v>
      </c>
      <c r="G95" s="53" t="s">
        <v>157</v>
      </c>
      <c r="H95" s="181">
        <f>SUM(H96:H98)</f>
        <v>85.92</v>
      </c>
      <c r="I95" s="109"/>
      <c r="J95" s="64"/>
      <c r="K95" s="64"/>
      <c r="L95" s="64"/>
      <c r="M95" s="64"/>
      <c r="N95" s="64"/>
    </row>
    <row r="96" spans="1:14" x14ac:dyDescent="0.2">
      <c r="A96" s="59"/>
      <c r="B96" s="60" t="s">
        <v>258</v>
      </c>
      <c r="C96" s="116"/>
      <c r="D96" s="61"/>
      <c r="E96" s="61">
        <v>25.15</v>
      </c>
      <c r="F96" s="61">
        <v>1.1000000000000001</v>
      </c>
      <c r="G96" s="61">
        <v>1</v>
      </c>
      <c r="H96" s="62">
        <f>F96*E96</f>
        <v>27.67</v>
      </c>
      <c r="I96" s="109"/>
      <c r="J96" s="64"/>
      <c r="K96" s="64"/>
      <c r="L96" s="64"/>
      <c r="M96" s="64"/>
      <c r="N96" s="64"/>
    </row>
    <row r="97" spans="1:14" x14ac:dyDescent="0.2">
      <c r="A97" s="59"/>
      <c r="B97" s="60" t="s">
        <v>258</v>
      </c>
      <c r="C97" s="116"/>
      <c r="D97" s="61"/>
      <c r="E97" s="61">
        <v>25.95</v>
      </c>
      <c r="F97" s="61">
        <v>1.1000000000000001</v>
      </c>
      <c r="G97" s="61">
        <v>1</v>
      </c>
      <c r="H97" s="62">
        <f t="shared" ref="H97:H98" si="1">F97*E97</f>
        <v>28.55</v>
      </c>
      <c r="I97" s="109"/>
      <c r="J97" s="64"/>
      <c r="K97" s="64"/>
      <c r="L97" s="64"/>
      <c r="M97" s="64"/>
      <c r="N97" s="64"/>
    </row>
    <row r="98" spans="1:14" x14ac:dyDescent="0.2">
      <c r="A98" s="59"/>
      <c r="B98" s="60" t="s">
        <v>259</v>
      </c>
      <c r="C98" s="116"/>
      <c r="D98" s="61"/>
      <c r="E98" s="61">
        <v>27</v>
      </c>
      <c r="F98" s="61">
        <v>1.1000000000000001</v>
      </c>
      <c r="G98" s="61">
        <v>1</v>
      </c>
      <c r="H98" s="62">
        <f t="shared" si="1"/>
        <v>29.7</v>
      </c>
      <c r="I98" s="109"/>
      <c r="J98" s="64"/>
      <c r="K98" s="64"/>
      <c r="L98" s="64"/>
      <c r="M98" s="64"/>
      <c r="N98" s="64"/>
    </row>
    <row r="99" spans="1:14" x14ac:dyDescent="0.2">
      <c r="A99" s="59"/>
      <c r="B99" s="180" t="s">
        <v>189</v>
      </c>
      <c r="C99" s="116"/>
      <c r="D99" s="61"/>
      <c r="E99" s="103" t="s">
        <v>36</v>
      </c>
      <c r="F99" s="53" t="s">
        <v>37</v>
      </c>
      <c r="G99" s="53" t="s">
        <v>157</v>
      </c>
      <c r="H99" s="181">
        <f>SUM(H100:H102)</f>
        <v>3</v>
      </c>
      <c r="I99" s="109"/>
      <c r="J99" s="64"/>
      <c r="K99" s="64"/>
      <c r="L99" s="64"/>
      <c r="M99" s="64"/>
      <c r="N99" s="64"/>
    </row>
    <row r="100" spans="1:14" x14ac:dyDescent="0.2">
      <c r="A100" s="59"/>
      <c r="B100" s="60" t="s">
        <v>262</v>
      </c>
      <c r="C100" s="116"/>
      <c r="D100" s="61"/>
      <c r="E100" s="61">
        <v>0.3</v>
      </c>
      <c r="F100" s="61">
        <v>0.28000000000000003</v>
      </c>
      <c r="G100" s="61">
        <v>4</v>
      </c>
      <c r="H100" s="62">
        <f>G100*F100*E100</f>
        <v>0.34</v>
      </c>
      <c r="I100" s="109"/>
      <c r="J100" s="64"/>
      <c r="K100" s="64"/>
      <c r="L100" s="64"/>
      <c r="M100" s="64"/>
      <c r="N100" s="64"/>
    </row>
    <row r="101" spans="1:14" x14ac:dyDescent="0.2">
      <c r="A101" s="59"/>
      <c r="B101" s="60" t="s">
        <v>263</v>
      </c>
      <c r="C101" s="116"/>
      <c r="D101" s="61"/>
      <c r="E101" s="61">
        <v>0.57999999999999996</v>
      </c>
      <c r="F101" s="61">
        <v>0.3</v>
      </c>
      <c r="G101" s="61">
        <v>9</v>
      </c>
      <c r="H101" s="62">
        <f t="shared" ref="H101:H102" si="2">G101*F101*E101</f>
        <v>1.57</v>
      </c>
      <c r="I101" s="109"/>
      <c r="J101" s="64"/>
      <c r="K101" s="64"/>
      <c r="L101" s="64"/>
      <c r="M101" s="64"/>
      <c r="N101" s="64"/>
    </row>
    <row r="102" spans="1:14" x14ac:dyDescent="0.2">
      <c r="A102" s="59"/>
      <c r="B102" s="60" t="s">
        <v>264</v>
      </c>
      <c r="C102" s="116"/>
      <c r="D102" s="61"/>
      <c r="E102" s="61">
        <v>0.4</v>
      </c>
      <c r="F102" s="61">
        <v>0.39</v>
      </c>
      <c r="G102" s="61">
        <v>7</v>
      </c>
      <c r="H102" s="62">
        <f t="shared" si="2"/>
        <v>1.0900000000000001</v>
      </c>
      <c r="I102" s="109"/>
      <c r="J102" s="64"/>
      <c r="K102" s="64"/>
      <c r="L102" s="64"/>
      <c r="M102" s="64"/>
      <c r="N102" s="64"/>
    </row>
    <row r="103" spans="1:14" x14ac:dyDescent="0.2">
      <c r="A103" s="59"/>
      <c r="B103" s="180" t="s">
        <v>190</v>
      </c>
      <c r="C103" s="116"/>
      <c r="D103" s="61"/>
      <c r="E103" s="103" t="s">
        <v>36</v>
      </c>
      <c r="F103" s="53" t="s">
        <v>192</v>
      </c>
      <c r="G103" s="53" t="s">
        <v>157</v>
      </c>
      <c r="H103" s="181">
        <f>SUM(H104:H105)</f>
        <v>19.350000000000001</v>
      </c>
      <c r="I103" s="109"/>
      <c r="J103" s="64"/>
      <c r="K103" s="64"/>
      <c r="L103" s="64"/>
      <c r="M103" s="64"/>
      <c r="N103" s="64"/>
    </row>
    <row r="104" spans="1:14" x14ac:dyDescent="0.2">
      <c r="A104" s="59"/>
      <c r="B104" s="60" t="s">
        <v>265</v>
      </c>
      <c r="C104" s="116"/>
      <c r="D104" s="61"/>
      <c r="E104" s="61">
        <v>2.14</v>
      </c>
      <c r="F104" s="61">
        <v>0.54</v>
      </c>
      <c r="G104" s="61">
        <v>4</v>
      </c>
      <c r="H104" s="62">
        <f>G104*F104*E104</f>
        <v>4.62</v>
      </c>
      <c r="I104" s="109"/>
      <c r="J104" s="64"/>
      <c r="K104" s="64"/>
      <c r="L104" s="64"/>
      <c r="M104" s="64"/>
      <c r="N104" s="64"/>
    </row>
    <row r="105" spans="1:14" x14ac:dyDescent="0.2">
      <c r="A105" s="59"/>
      <c r="B105" s="60" t="s">
        <v>266</v>
      </c>
      <c r="C105" s="116"/>
      <c r="D105" s="61"/>
      <c r="E105" s="61">
        <f>2.14+0.888</f>
        <v>3.03</v>
      </c>
      <c r="F105" s="61">
        <v>0.54</v>
      </c>
      <c r="G105" s="61">
        <v>9</v>
      </c>
      <c r="H105" s="62">
        <f t="shared" ref="H105" si="3">G105*F105*E105</f>
        <v>14.73</v>
      </c>
      <c r="I105" s="109"/>
      <c r="J105" s="64"/>
      <c r="K105" s="64"/>
      <c r="L105" s="64"/>
      <c r="M105" s="64"/>
      <c r="N105" s="64"/>
    </row>
    <row r="106" spans="1:14" x14ac:dyDescent="0.2">
      <c r="A106" s="59"/>
      <c r="B106" s="180" t="s">
        <v>260</v>
      </c>
      <c r="C106" s="116"/>
      <c r="D106" s="61"/>
      <c r="E106" s="103"/>
      <c r="F106" s="53"/>
      <c r="G106" s="53" t="s">
        <v>64</v>
      </c>
      <c r="H106" s="181">
        <f>SUM(H107)</f>
        <v>35.65</v>
      </c>
      <c r="I106" s="109"/>
      <c r="J106" s="64"/>
      <c r="K106" s="64"/>
      <c r="L106" s="64"/>
      <c r="M106" s="64"/>
      <c r="N106" s="64"/>
    </row>
    <row r="107" spans="1:14" x14ac:dyDescent="0.2">
      <c r="A107" s="59"/>
      <c r="B107" s="60" t="s">
        <v>261</v>
      </c>
      <c r="C107" s="116"/>
      <c r="D107" s="61"/>
      <c r="E107" s="61"/>
      <c r="F107" s="61"/>
      <c r="G107" s="61">
        <v>35.65</v>
      </c>
      <c r="H107" s="62">
        <f>G107</f>
        <v>35.65</v>
      </c>
      <c r="I107" s="109"/>
      <c r="J107" s="64"/>
      <c r="K107" s="64"/>
      <c r="L107" s="64"/>
      <c r="M107" s="64"/>
      <c r="N107" s="64"/>
    </row>
    <row r="108" spans="1:14" x14ac:dyDescent="0.2">
      <c r="A108" s="59"/>
      <c r="B108" s="180" t="s">
        <v>191</v>
      </c>
      <c r="C108" s="116"/>
      <c r="D108" s="103"/>
      <c r="E108" s="103" t="s">
        <v>36</v>
      </c>
      <c r="F108" s="53" t="s">
        <v>192</v>
      </c>
      <c r="G108" s="53" t="s">
        <v>157</v>
      </c>
      <c r="H108" s="181">
        <f>SUM(H109:H112)</f>
        <v>104.46</v>
      </c>
      <c r="I108" s="109"/>
      <c r="J108" s="64"/>
      <c r="K108" s="64"/>
      <c r="L108" s="64"/>
      <c r="M108" s="64"/>
      <c r="N108" s="64"/>
    </row>
    <row r="109" spans="1:14" x14ac:dyDescent="0.2">
      <c r="A109" s="223"/>
      <c r="B109" s="60" t="s">
        <v>267</v>
      </c>
      <c r="C109" s="224"/>
      <c r="D109" s="225"/>
      <c r="E109" s="225">
        <v>5.37</v>
      </c>
      <c r="F109" s="225">
        <v>0.54</v>
      </c>
      <c r="G109" s="225">
        <v>7</v>
      </c>
      <c r="H109" s="226">
        <f>G109*F109*E109</f>
        <v>20.3</v>
      </c>
      <c r="I109" s="227"/>
      <c r="J109" s="64"/>
      <c r="K109" s="64"/>
      <c r="L109" s="64"/>
      <c r="M109" s="64"/>
      <c r="N109" s="64"/>
    </row>
    <row r="110" spans="1:14" x14ac:dyDescent="0.2">
      <c r="A110" s="223"/>
      <c r="B110" s="60" t="s">
        <v>268</v>
      </c>
      <c r="C110" s="224"/>
      <c r="D110" s="225"/>
      <c r="E110" s="225">
        <v>1.7</v>
      </c>
      <c r="F110" s="225">
        <f>F109</f>
        <v>0.54</v>
      </c>
      <c r="G110" s="225">
        <v>7</v>
      </c>
      <c r="H110" s="226">
        <f t="shared" ref="H110:H111" si="4">G110*F110*E110</f>
        <v>6.43</v>
      </c>
      <c r="I110" s="227"/>
      <c r="J110" s="64"/>
      <c r="K110" s="64"/>
      <c r="L110" s="64"/>
      <c r="M110" s="64"/>
      <c r="N110" s="64"/>
    </row>
    <row r="111" spans="1:14" x14ac:dyDescent="0.2">
      <c r="A111" s="223"/>
      <c r="B111" s="60" t="s">
        <v>269</v>
      </c>
      <c r="C111" s="224"/>
      <c r="D111" s="225"/>
      <c r="E111" s="225">
        <v>3.75</v>
      </c>
      <c r="F111" s="225">
        <f>F109</f>
        <v>0.54</v>
      </c>
      <c r="G111" s="225">
        <v>7</v>
      </c>
      <c r="H111" s="226">
        <f t="shared" si="4"/>
        <v>14.18</v>
      </c>
      <c r="I111" s="227"/>
      <c r="J111" s="64"/>
      <c r="K111" s="64"/>
      <c r="L111" s="64"/>
      <c r="M111" s="64"/>
      <c r="N111" s="64"/>
    </row>
    <row r="112" spans="1:14" x14ac:dyDescent="0.2">
      <c r="A112" s="223"/>
      <c r="B112" s="60" t="s">
        <v>270</v>
      </c>
      <c r="C112" s="224"/>
      <c r="D112" s="225"/>
      <c r="E112" s="225"/>
      <c r="F112" s="225"/>
      <c r="G112" s="225"/>
      <c r="H112" s="226">
        <v>63.55</v>
      </c>
      <c r="I112" s="227">
        <f>H108+H103+H99+H95</f>
        <v>212.73</v>
      </c>
      <c r="J112" s="64"/>
      <c r="K112" s="64"/>
      <c r="L112" s="64"/>
      <c r="M112" s="64"/>
      <c r="N112" s="64"/>
    </row>
    <row r="113" spans="1:14" x14ac:dyDescent="0.2">
      <c r="A113" s="66"/>
      <c r="B113" s="177"/>
      <c r="C113" s="68"/>
      <c r="D113" s="178"/>
      <c r="E113" s="178"/>
      <c r="F113" s="178"/>
      <c r="G113" s="178"/>
      <c r="H113" s="178"/>
      <c r="I113" s="179"/>
      <c r="J113" s="64"/>
      <c r="K113" s="64"/>
      <c r="L113" s="64"/>
      <c r="M113" s="64"/>
      <c r="N113" s="64"/>
    </row>
    <row r="114" spans="1:14" x14ac:dyDescent="0.2">
      <c r="A114" s="66"/>
      <c r="B114" s="177"/>
      <c r="C114" s="68"/>
      <c r="D114" s="178"/>
      <c r="E114" s="178"/>
      <c r="F114" s="178"/>
      <c r="G114" s="178"/>
      <c r="H114" s="178"/>
      <c r="I114" s="179"/>
      <c r="J114" s="64"/>
      <c r="K114" s="64"/>
      <c r="L114" s="64"/>
      <c r="M114" s="64"/>
      <c r="N114" s="64"/>
    </row>
    <row r="115" spans="1:14" ht="15.75" customHeight="1" x14ac:dyDescent="0.2">
      <c r="A115" s="66"/>
      <c r="B115" s="177"/>
      <c r="C115" s="68"/>
      <c r="D115" s="178"/>
      <c r="E115" s="178"/>
      <c r="F115" s="178"/>
      <c r="G115" s="178"/>
      <c r="H115" s="178"/>
      <c r="I115" s="179"/>
      <c r="J115" s="64"/>
      <c r="K115" s="64"/>
      <c r="L115" s="64"/>
      <c r="M115" s="64"/>
      <c r="N115" s="64"/>
    </row>
    <row r="116" spans="1:14" x14ac:dyDescent="0.2">
      <c r="A116" s="66"/>
      <c r="B116" s="67"/>
      <c r="C116" s="68"/>
      <c r="D116" s="319" t="s">
        <v>182</v>
      </c>
      <c r="E116" s="319"/>
      <c r="F116" s="319"/>
      <c r="G116" s="70"/>
      <c r="H116" s="70"/>
      <c r="I116" s="71"/>
      <c r="J116" s="64"/>
      <c r="K116" s="64"/>
      <c r="L116" s="64"/>
      <c r="M116" s="64"/>
      <c r="N116" s="64"/>
    </row>
    <row r="117" spans="1:14" x14ac:dyDescent="0.2">
      <c r="A117" s="66"/>
      <c r="B117" s="67"/>
      <c r="C117" s="68"/>
      <c r="D117" s="318" t="s">
        <v>183</v>
      </c>
      <c r="E117" s="318"/>
      <c r="F117" s="318"/>
      <c r="G117" s="70"/>
      <c r="H117" s="70"/>
      <c r="I117" s="71"/>
      <c r="J117" s="64"/>
      <c r="K117" s="64"/>
      <c r="L117" s="64"/>
      <c r="M117" s="64"/>
      <c r="N117" s="64"/>
    </row>
    <row r="118" spans="1:14" x14ac:dyDescent="0.2">
      <c r="A118" s="66"/>
      <c r="B118" s="67"/>
      <c r="C118" s="68"/>
      <c r="D118" s="69"/>
      <c r="E118" s="70"/>
      <c r="F118" s="70"/>
      <c r="G118" s="70"/>
      <c r="H118" s="70"/>
      <c r="I118" s="71"/>
      <c r="J118" s="64"/>
      <c r="K118" s="64"/>
      <c r="L118" s="64"/>
      <c r="M118" s="64"/>
      <c r="N118" s="64"/>
    </row>
    <row r="119" spans="1:14" x14ac:dyDescent="0.2">
      <c r="A119" s="66"/>
      <c r="B119" s="67"/>
      <c r="C119" s="68"/>
      <c r="D119" s="69"/>
      <c r="E119" s="70"/>
      <c r="F119" s="70"/>
      <c r="G119" s="70"/>
      <c r="H119" s="70"/>
      <c r="I119" s="71"/>
      <c r="J119" s="64"/>
      <c r="K119" s="64"/>
      <c r="L119" s="64"/>
      <c r="M119" s="64"/>
      <c r="N119" s="64"/>
    </row>
    <row r="120" spans="1:14" x14ac:dyDescent="0.2">
      <c r="A120" s="66"/>
      <c r="B120" s="67"/>
      <c r="C120" s="68"/>
      <c r="D120" s="69"/>
      <c r="E120" s="70"/>
      <c r="F120" s="70"/>
      <c r="G120" s="70"/>
      <c r="H120" s="70"/>
      <c r="I120" s="71"/>
      <c r="J120" s="64"/>
      <c r="K120" s="64"/>
      <c r="L120" s="64"/>
      <c r="M120" s="64"/>
      <c r="N120" s="64"/>
    </row>
    <row r="121" spans="1:14" x14ac:dyDescent="0.2">
      <c r="A121" s="66"/>
      <c r="B121" s="67"/>
      <c r="C121" s="68"/>
      <c r="D121" s="69"/>
      <c r="E121" s="70"/>
      <c r="F121" s="70"/>
      <c r="G121" s="70"/>
      <c r="H121" s="70"/>
      <c r="I121" s="71"/>
      <c r="J121" s="64"/>
      <c r="K121" s="64"/>
      <c r="L121" s="64"/>
      <c r="M121" s="64"/>
      <c r="N121" s="64"/>
    </row>
    <row r="122" spans="1:14" x14ac:dyDescent="0.2">
      <c r="A122" s="66"/>
      <c r="B122" s="67"/>
      <c r="C122" s="68"/>
      <c r="D122" s="69"/>
      <c r="E122" s="70"/>
      <c r="F122" s="70"/>
      <c r="G122" s="70"/>
      <c r="H122" s="70"/>
      <c r="I122" s="72"/>
      <c r="J122" s="64"/>
      <c r="K122" s="64"/>
      <c r="L122" s="64"/>
      <c r="M122" s="64"/>
      <c r="N122" s="64"/>
    </row>
    <row r="123" spans="1:14" x14ac:dyDescent="0.2">
      <c r="A123" s="66"/>
      <c r="B123" s="67"/>
      <c r="C123" s="68"/>
      <c r="D123" s="69"/>
      <c r="E123" s="70"/>
      <c r="F123" s="70"/>
      <c r="G123" s="70"/>
      <c r="H123" s="70"/>
      <c r="I123" s="72"/>
      <c r="J123" s="64"/>
      <c r="K123" s="64"/>
      <c r="L123" s="64"/>
      <c r="M123" s="64"/>
      <c r="N123" s="64"/>
    </row>
    <row r="124" spans="1:14" x14ac:dyDescent="0.2">
      <c r="A124" s="66"/>
      <c r="B124" s="67"/>
      <c r="C124" s="68"/>
      <c r="D124" s="46"/>
      <c r="E124" s="70"/>
      <c r="F124" s="70"/>
      <c r="G124" s="70"/>
      <c r="H124" s="70"/>
      <c r="I124" s="72"/>
      <c r="J124" s="64"/>
      <c r="K124" s="64"/>
      <c r="L124" s="64"/>
      <c r="M124" s="64"/>
      <c r="N124" s="64"/>
    </row>
    <row r="125" spans="1:14" x14ac:dyDescent="0.2">
      <c r="A125" s="66"/>
      <c r="B125" s="67"/>
      <c r="C125" s="68"/>
      <c r="D125" s="46"/>
      <c r="E125" s="70"/>
      <c r="F125" s="70"/>
      <c r="G125" s="70"/>
      <c r="H125" s="70"/>
      <c r="I125" s="72"/>
      <c r="J125" s="64"/>
      <c r="K125" s="64"/>
      <c r="L125" s="64"/>
      <c r="M125" s="64"/>
      <c r="N125" s="64"/>
    </row>
    <row r="126" spans="1:14" x14ac:dyDescent="0.2">
      <c r="A126" s="66"/>
      <c r="B126" s="67"/>
      <c r="C126" s="68"/>
      <c r="D126" s="69"/>
      <c r="E126" s="70"/>
      <c r="F126" s="70"/>
      <c r="G126" s="70"/>
      <c r="H126" s="70"/>
      <c r="I126" s="72"/>
      <c r="J126" s="64"/>
      <c r="K126" s="64"/>
      <c r="L126" s="64"/>
      <c r="M126" s="64"/>
      <c r="N126" s="64"/>
    </row>
    <row r="127" spans="1:14" x14ac:dyDescent="0.2">
      <c r="A127" s="66"/>
      <c r="B127" s="67"/>
      <c r="C127" s="68"/>
      <c r="D127" s="69"/>
      <c r="E127" s="70"/>
      <c r="F127" s="70"/>
      <c r="G127" s="70"/>
      <c r="H127" s="70"/>
      <c r="I127" s="72"/>
      <c r="J127" s="64"/>
      <c r="K127" s="64"/>
      <c r="L127" s="64"/>
      <c r="M127" s="64"/>
      <c r="N127" s="64"/>
    </row>
    <row r="128" spans="1:14" x14ac:dyDescent="0.2">
      <c r="A128" s="66"/>
      <c r="B128" s="67"/>
      <c r="C128" s="68"/>
      <c r="D128" s="69"/>
      <c r="E128" s="70"/>
      <c r="F128" s="70"/>
      <c r="G128" s="70"/>
      <c r="H128" s="70"/>
      <c r="I128" s="72"/>
      <c r="J128" s="64"/>
      <c r="K128" s="64"/>
      <c r="L128" s="64"/>
      <c r="M128" s="64"/>
      <c r="N128" s="64"/>
    </row>
    <row r="129" spans="1:14" x14ac:dyDescent="0.2">
      <c r="A129" s="66"/>
      <c r="B129" s="67"/>
      <c r="C129" s="68"/>
      <c r="D129" s="69"/>
      <c r="E129" s="70"/>
      <c r="F129" s="70"/>
      <c r="G129" s="70"/>
      <c r="H129" s="70"/>
      <c r="I129" s="72"/>
      <c r="J129" s="64"/>
      <c r="K129" s="64"/>
      <c r="L129" s="64"/>
      <c r="M129" s="64"/>
      <c r="N129" s="64"/>
    </row>
    <row r="130" spans="1:14" x14ac:dyDescent="0.2">
      <c r="A130" s="66"/>
      <c r="B130" s="67"/>
      <c r="C130" s="68"/>
      <c r="D130" s="69"/>
      <c r="E130" s="70"/>
      <c r="F130" s="70"/>
      <c r="G130" s="70"/>
      <c r="H130" s="70"/>
      <c r="I130" s="72"/>
      <c r="J130" s="64"/>
      <c r="K130" s="64"/>
      <c r="L130" s="64"/>
      <c r="M130" s="64"/>
      <c r="N130" s="64"/>
    </row>
    <row r="131" spans="1:14" x14ac:dyDescent="0.2">
      <c r="A131" s="66"/>
      <c r="B131" s="67"/>
      <c r="C131" s="68"/>
      <c r="D131" s="69"/>
      <c r="E131" s="70"/>
      <c r="F131" s="70"/>
      <c r="G131" s="70"/>
      <c r="H131" s="70"/>
      <c r="I131" s="72"/>
      <c r="J131" s="64"/>
      <c r="K131" s="64"/>
      <c r="L131" s="64"/>
      <c r="M131" s="64"/>
      <c r="N131" s="64"/>
    </row>
    <row r="132" spans="1:14" x14ac:dyDescent="0.2">
      <c r="A132" s="66"/>
      <c r="B132" s="67"/>
      <c r="C132" s="68"/>
      <c r="D132" s="69"/>
      <c r="E132" s="70"/>
      <c r="F132" s="70"/>
      <c r="G132" s="70"/>
      <c r="H132" s="70"/>
      <c r="I132" s="72"/>
      <c r="J132" s="64"/>
      <c r="K132" s="64"/>
      <c r="L132" s="64"/>
      <c r="M132" s="64"/>
      <c r="N132" s="64"/>
    </row>
    <row r="133" spans="1:14" x14ac:dyDescent="0.2">
      <c r="A133" s="66"/>
      <c r="B133" s="67"/>
      <c r="C133" s="68"/>
      <c r="D133" s="69"/>
      <c r="E133" s="70"/>
      <c r="F133" s="70"/>
      <c r="G133" s="70"/>
      <c r="H133" s="70"/>
      <c r="I133" s="72"/>
      <c r="J133" s="64"/>
      <c r="K133" s="64"/>
      <c r="L133" s="64"/>
      <c r="M133" s="64"/>
      <c r="N133" s="64"/>
    </row>
    <row r="134" spans="1:14" x14ac:dyDescent="0.2">
      <c r="A134" s="66"/>
      <c r="B134" s="67"/>
      <c r="C134" s="68"/>
      <c r="D134" s="69"/>
      <c r="E134" s="70"/>
      <c r="F134" s="70"/>
      <c r="G134" s="70"/>
      <c r="H134" s="70"/>
      <c r="I134" s="72"/>
      <c r="J134" s="64"/>
      <c r="K134" s="64"/>
      <c r="L134" s="64"/>
      <c r="M134" s="64"/>
      <c r="N134" s="64"/>
    </row>
    <row r="135" spans="1:14" x14ac:dyDescent="0.2">
      <c r="A135" s="66"/>
      <c r="B135" s="67"/>
      <c r="C135" s="68"/>
      <c r="D135" s="69"/>
      <c r="E135" s="70"/>
      <c r="F135" s="70"/>
      <c r="G135" s="70"/>
      <c r="H135" s="70"/>
      <c r="I135" s="71"/>
      <c r="J135" s="64"/>
      <c r="K135" s="64"/>
      <c r="L135" s="64"/>
      <c r="M135" s="64"/>
      <c r="N135" s="64"/>
    </row>
    <row r="136" spans="1:14" x14ac:dyDescent="0.2">
      <c r="A136" s="66"/>
      <c r="B136" s="67"/>
      <c r="C136" s="68"/>
      <c r="D136" s="69"/>
      <c r="E136" s="70"/>
      <c r="F136" s="70"/>
      <c r="G136" s="70"/>
      <c r="H136" s="70"/>
      <c r="I136" s="71"/>
      <c r="J136" s="64"/>
      <c r="K136" s="64"/>
      <c r="L136" s="64"/>
      <c r="M136" s="64"/>
      <c r="N136" s="64"/>
    </row>
    <row r="137" spans="1:14" x14ac:dyDescent="0.2">
      <c r="A137" s="66"/>
      <c r="B137" s="67"/>
      <c r="C137" s="68"/>
      <c r="D137" s="69"/>
      <c r="E137" s="70"/>
      <c r="F137" s="70"/>
      <c r="G137" s="70"/>
      <c r="H137" s="70"/>
      <c r="I137" s="71"/>
      <c r="J137" s="64"/>
      <c r="K137" s="64"/>
      <c r="L137" s="64"/>
      <c r="M137" s="64"/>
      <c r="N137" s="64"/>
    </row>
    <row r="138" spans="1:14" x14ac:dyDescent="0.2">
      <c r="A138" s="66"/>
      <c r="B138" s="67"/>
      <c r="C138" s="68"/>
      <c r="D138" s="69"/>
      <c r="E138" s="70"/>
      <c r="F138" s="70"/>
      <c r="G138" s="70"/>
      <c r="H138" s="70"/>
      <c r="I138" s="71"/>
      <c r="J138" s="64"/>
      <c r="K138" s="64"/>
      <c r="L138" s="64"/>
      <c r="M138" s="64"/>
      <c r="N138" s="64"/>
    </row>
    <row r="139" spans="1:14" x14ac:dyDescent="0.2">
      <c r="A139" s="66"/>
      <c r="B139" s="67"/>
      <c r="C139" s="68"/>
      <c r="D139" s="69"/>
      <c r="E139" s="70"/>
      <c r="F139" s="70"/>
      <c r="G139" s="70"/>
      <c r="H139" s="70"/>
      <c r="I139" s="71"/>
      <c r="J139" s="64"/>
      <c r="K139" s="64"/>
      <c r="L139" s="64"/>
      <c r="M139" s="64"/>
      <c r="N139" s="64"/>
    </row>
    <row r="140" spans="1:14" x14ac:dyDescent="0.2">
      <c r="A140" s="66"/>
      <c r="B140" s="67"/>
      <c r="C140" s="68"/>
      <c r="D140" s="69"/>
      <c r="E140" s="70"/>
      <c r="F140" s="70"/>
      <c r="G140" s="70"/>
      <c r="H140" s="70"/>
      <c r="I140" s="70"/>
      <c r="J140" s="64"/>
      <c r="K140" s="64"/>
      <c r="L140" s="64"/>
      <c r="M140" s="64"/>
      <c r="N140" s="64"/>
    </row>
    <row r="141" spans="1:14" x14ac:dyDescent="0.2">
      <c r="A141" s="73"/>
      <c r="B141" s="74"/>
      <c r="C141" s="75"/>
      <c r="D141" s="69"/>
      <c r="E141" s="70"/>
      <c r="F141" s="70"/>
      <c r="G141" s="70"/>
      <c r="H141" s="70"/>
      <c r="I141" s="70"/>
      <c r="J141" s="64"/>
      <c r="K141" s="64"/>
      <c r="L141" s="64"/>
      <c r="M141" s="64"/>
      <c r="N141" s="64"/>
    </row>
    <row r="142" spans="1:14" x14ac:dyDescent="0.2">
      <c r="A142" s="66"/>
      <c r="B142" s="67"/>
      <c r="C142" s="68"/>
      <c r="D142" s="69"/>
      <c r="E142" s="70"/>
      <c r="F142" s="70"/>
      <c r="G142" s="70"/>
      <c r="H142" s="70"/>
      <c r="I142" s="70"/>
      <c r="J142" s="64"/>
      <c r="K142" s="64"/>
      <c r="L142" s="64"/>
      <c r="M142" s="64"/>
      <c r="N142" s="64"/>
    </row>
    <row r="143" spans="1:14" x14ac:dyDescent="0.2">
      <c r="A143" s="66"/>
      <c r="B143" s="67"/>
      <c r="C143" s="68"/>
      <c r="D143" s="69"/>
      <c r="E143" s="70"/>
      <c r="F143" s="70"/>
      <c r="G143" s="70"/>
      <c r="H143" s="70"/>
      <c r="I143" s="71"/>
      <c r="J143" s="64"/>
      <c r="K143" s="64"/>
      <c r="L143" s="64"/>
      <c r="M143" s="64"/>
      <c r="N143" s="64"/>
    </row>
    <row r="144" spans="1:14" x14ac:dyDescent="0.2">
      <c r="A144" s="66"/>
      <c r="B144" s="67"/>
      <c r="C144" s="68"/>
      <c r="D144" s="68"/>
      <c r="E144" s="76"/>
      <c r="F144" s="76"/>
      <c r="G144" s="76"/>
      <c r="H144" s="71"/>
      <c r="I144" s="71"/>
      <c r="J144" s="64"/>
      <c r="K144" s="64"/>
      <c r="L144" s="64"/>
      <c r="M144" s="64"/>
      <c r="N144" s="64"/>
    </row>
    <row r="145" spans="1:14" x14ac:dyDescent="0.2">
      <c r="A145" s="66"/>
      <c r="B145" s="67"/>
      <c r="C145" s="68"/>
      <c r="D145" s="72"/>
      <c r="E145" s="70"/>
      <c r="F145" s="70"/>
      <c r="G145" s="70"/>
      <c r="H145" s="70"/>
      <c r="I145" s="70"/>
      <c r="J145" s="64"/>
      <c r="K145" s="64"/>
      <c r="L145" s="64"/>
      <c r="M145" s="64"/>
      <c r="N145" s="64"/>
    </row>
    <row r="146" spans="1:14" x14ac:dyDescent="0.2">
      <c r="A146" s="66"/>
      <c r="B146" s="67"/>
      <c r="C146" s="68"/>
      <c r="D146" s="72"/>
      <c r="E146" s="70"/>
      <c r="F146" s="70"/>
      <c r="G146" s="70"/>
      <c r="H146" s="70"/>
      <c r="I146" s="70"/>
      <c r="J146" s="64"/>
      <c r="K146" s="64"/>
      <c r="L146" s="64"/>
      <c r="M146" s="64"/>
      <c r="N146" s="64"/>
    </row>
    <row r="147" spans="1:14" x14ac:dyDescent="0.2">
      <c r="A147" s="66"/>
      <c r="B147" s="67"/>
      <c r="C147" s="68"/>
      <c r="D147" s="72"/>
      <c r="E147" s="70"/>
      <c r="F147" s="70"/>
      <c r="G147" s="70"/>
      <c r="H147" s="70"/>
      <c r="I147" s="70"/>
      <c r="J147" s="64"/>
      <c r="K147" s="64"/>
      <c r="L147" s="64"/>
      <c r="M147" s="64"/>
      <c r="N147" s="64"/>
    </row>
    <row r="148" spans="1:14" x14ac:dyDescent="0.2">
      <c r="A148" s="66"/>
      <c r="B148" s="67"/>
      <c r="C148" s="68"/>
      <c r="D148" s="72"/>
      <c r="E148" s="70"/>
      <c r="F148" s="70"/>
      <c r="G148" s="70"/>
      <c r="H148" s="70"/>
      <c r="I148" s="70"/>
      <c r="J148" s="64"/>
      <c r="K148" s="64"/>
      <c r="L148" s="64"/>
      <c r="M148" s="64"/>
      <c r="N148" s="64"/>
    </row>
    <row r="149" spans="1:14" x14ac:dyDescent="0.2">
      <c r="A149" s="66"/>
      <c r="B149" s="67"/>
      <c r="C149" s="68"/>
      <c r="D149" s="72"/>
      <c r="E149" s="70"/>
      <c r="F149" s="70"/>
      <c r="G149" s="70"/>
      <c r="H149" s="70"/>
      <c r="I149" s="70"/>
      <c r="J149" s="64"/>
      <c r="K149" s="64"/>
      <c r="L149" s="64"/>
      <c r="M149" s="64"/>
      <c r="N149" s="64"/>
    </row>
    <row r="150" spans="1:14" x14ac:dyDescent="0.2">
      <c r="A150" s="66"/>
      <c r="B150" s="67"/>
      <c r="C150" s="68"/>
      <c r="D150" s="72"/>
      <c r="E150" s="70"/>
      <c r="F150" s="70"/>
      <c r="G150" s="70"/>
      <c r="H150" s="70"/>
      <c r="I150" s="70"/>
      <c r="J150" s="64"/>
      <c r="K150" s="64"/>
      <c r="L150" s="64"/>
      <c r="M150" s="64"/>
      <c r="N150" s="64"/>
    </row>
    <row r="151" spans="1:14" x14ac:dyDescent="0.2">
      <c r="A151" s="66"/>
      <c r="B151" s="67"/>
      <c r="C151" s="68"/>
      <c r="D151" s="69"/>
      <c r="E151" s="70"/>
      <c r="F151" s="70"/>
      <c r="G151" s="70"/>
      <c r="H151" s="70"/>
      <c r="I151" s="70"/>
      <c r="J151" s="64"/>
      <c r="K151" s="64"/>
      <c r="L151" s="64"/>
      <c r="M151" s="64"/>
      <c r="N151" s="64"/>
    </row>
    <row r="152" spans="1:14" x14ac:dyDescent="0.2">
      <c r="A152" s="66"/>
      <c r="B152" s="67"/>
      <c r="C152" s="68"/>
      <c r="D152" s="69"/>
      <c r="E152" s="70"/>
      <c r="F152" s="70"/>
      <c r="G152" s="70"/>
      <c r="H152" s="70"/>
      <c r="I152" s="70"/>
      <c r="J152" s="64"/>
      <c r="K152" s="64"/>
      <c r="L152" s="64"/>
      <c r="M152" s="64"/>
      <c r="N152" s="64"/>
    </row>
    <row r="153" spans="1:14" x14ac:dyDescent="0.2">
      <c r="A153" s="66"/>
      <c r="B153" s="67"/>
      <c r="C153" s="68"/>
      <c r="D153" s="69"/>
      <c r="E153" s="70"/>
      <c r="F153" s="70"/>
      <c r="G153" s="70"/>
      <c r="H153" s="70"/>
      <c r="I153" s="70"/>
      <c r="J153" s="64"/>
      <c r="K153" s="64"/>
      <c r="L153" s="64"/>
      <c r="M153" s="64"/>
      <c r="N153" s="64"/>
    </row>
    <row r="154" spans="1:14" x14ac:dyDescent="0.2">
      <c r="A154" s="66"/>
      <c r="B154" s="67"/>
      <c r="C154" s="68"/>
      <c r="D154" s="69"/>
      <c r="E154" s="70"/>
      <c r="F154" s="70"/>
      <c r="G154" s="70"/>
      <c r="H154" s="70"/>
      <c r="I154" s="70"/>
      <c r="J154" s="64"/>
      <c r="K154" s="64"/>
      <c r="L154" s="64"/>
      <c r="M154" s="64"/>
      <c r="N154" s="64"/>
    </row>
    <row r="155" spans="1:14" x14ac:dyDescent="0.2">
      <c r="A155" s="66"/>
      <c r="B155" s="67"/>
      <c r="C155" s="68"/>
      <c r="D155" s="69"/>
      <c r="E155" s="70"/>
      <c r="F155" s="70"/>
      <c r="G155" s="70"/>
      <c r="H155" s="70"/>
      <c r="I155" s="70"/>
      <c r="J155" s="64"/>
      <c r="K155" s="64"/>
      <c r="L155" s="64"/>
      <c r="M155" s="64"/>
      <c r="N155" s="64"/>
    </row>
    <row r="156" spans="1:14" x14ac:dyDescent="0.2">
      <c r="A156" s="66"/>
      <c r="B156" s="67"/>
      <c r="C156" s="68"/>
      <c r="D156" s="69"/>
      <c r="E156" s="70"/>
      <c r="F156" s="70"/>
      <c r="G156" s="70"/>
      <c r="H156" s="70"/>
      <c r="I156" s="70"/>
      <c r="J156" s="64"/>
      <c r="K156" s="64"/>
      <c r="L156" s="64"/>
      <c r="M156" s="64"/>
      <c r="N156" s="64"/>
    </row>
    <row r="157" spans="1:14" x14ac:dyDescent="0.2">
      <c r="A157" s="66"/>
      <c r="B157" s="67"/>
      <c r="C157" s="68"/>
      <c r="D157" s="69"/>
      <c r="E157" s="70"/>
      <c r="F157" s="70"/>
      <c r="G157" s="70"/>
      <c r="H157" s="70"/>
      <c r="I157" s="70"/>
      <c r="J157" s="64"/>
      <c r="K157" s="64"/>
      <c r="L157" s="64"/>
      <c r="M157" s="64"/>
      <c r="N157" s="64"/>
    </row>
    <row r="158" spans="1:14" x14ac:dyDescent="0.2">
      <c r="A158" s="66"/>
      <c r="B158" s="67"/>
      <c r="C158" s="68"/>
      <c r="D158" s="69"/>
      <c r="E158" s="70"/>
      <c r="F158" s="70"/>
      <c r="G158" s="70"/>
      <c r="H158" s="70"/>
      <c r="I158" s="70"/>
      <c r="J158" s="64"/>
      <c r="K158" s="64"/>
      <c r="L158" s="64"/>
      <c r="M158" s="64"/>
      <c r="N158" s="64"/>
    </row>
    <row r="159" spans="1:14" x14ac:dyDescent="0.2">
      <c r="A159" s="66"/>
      <c r="B159" s="67"/>
      <c r="C159" s="68"/>
      <c r="D159" s="69"/>
      <c r="E159" s="70"/>
      <c r="F159" s="70"/>
      <c r="G159" s="70"/>
      <c r="H159" s="70"/>
      <c r="I159" s="71"/>
      <c r="J159" s="64"/>
      <c r="K159" s="64"/>
      <c r="L159" s="64"/>
      <c r="M159" s="64"/>
      <c r="N159" s="64"/>
    </row>
    <row r="160" spans="1:14" x14ac:dyDescent="0.2">
      <c r="A160" s="66"/>
      <c r="B160" s="67"/>
      <c r="C160" s="68"/>
      <c r="D160" s="68"/>
      <c r="E160" s="76"/>
      <c r="F160" s="76"/>
      <c r="G160" s="76"/>
      <c r="H160" s="71"/>
      <c r="I160" s="71"/>
      <c r="J160" s="64"/>
      <c r="K160" s="64"/>
      <c r="L160" s="64"/>
      <c r="M160" s="64"/>
      <c r="N160" s="64"/>
    </row>
    <row r="161" spans="1:14" x14ac:dyDescent="0.2">
      <c r="A161" s="66"/>
      <c r="B161" s="67"/>
      <c r="C161" s="68"/>
      <c r="D161" s="72"/>
      <c r="E161" s="70"/>
      <c r="F161" s="70"/>
      <c r="G161" s="70"/>
      <c r="H161" s="70"/>
      <c r="I161" s="70"/>
      <c r="J161" s="64"/>
      <c r="K161" s="64"/>
      <c r="L161" s="64"/>
      <c r="M161" s="64"/>
      <c r="N161" s="64"/>
    </row>
    <row r="162" spans="1:14" x14ac:dyDescent="0.2">
      <c r="A162" s="66"/>
      <c r="B162" s="67"/>
      <c r="C162" s="68"/>
      <c r="D162" s="72"/>
      <c r="E162" s="70"/>
      <c r="F162" s="70"/>
      <c r="G162" s="70"/>
      <c r="H162" s="70"/>
      <c r="I162" s="70"/>
      <c r="J162" s="64"/>
      <c r="K162" s="64"/>
      <c r="L162" s="64"/>
      <c r="M162" s="64"/>
      <c r="N162" s="64"/>
    </row>
    <row r="163" spans="1:14" x14ac:dyDescent="0.2">
      <c r="A163" s="66"/>
      <c r="B163" s="67"/>
      <c r="C163" s="68"/>
      <c r="D163" s="72"/>
      <c r="E163" s="70"/>
      <c r="F163" s="70"/>
      <c r="G163" s="70"/>
      <c r="H163" s="70"/>
      <c r="I163" s="70"/>
      <c r="J163" s="64"/>
      <c r="K163" s="64"/>
      <c r="L163" s="64"/>
      <c r="M163" s="64"/>
      <c r="N163" s="64"/>
    </row>
    <row r="164" spans="1:14" x14ac:dyDescent="0.2">
      <c r="A164" s="66"/>
      <c r="B164" s="67"/>
      <c r="C164" s="68"/>
      <c r="D164" s="72"/>
      <c r="E164" s="70"/>
      <c r="F164" s="70"/>
      <c r="G164" s="70"/>
      <c r="H164" s="70"/>
      <c r="I164" s="70"/>
      <c r="J164" s="64"/>
      <c r="K164" s="64"/>
      <c r="L164" s="64"/>
      <c r="M164" s="64"/>
      <c r="N164" s="64"/>
    </row>
    <row r="165" spans="1:14" x14ac:dyDescent="0.2">
      <c r="A165" s="66"/>
      <c r="B165" s="67"/>
      <c r="C165" s="68"/>
      <c r="D165" s="72"/>
      <c r="E165" s="70"/>
      <c r="F165" s="70"/>
      <c r="G165" s="70"/>
      <c r="H165" s="70"/>
      <c r="I165" s="70"/>
      <c r="J165" s="64"/>
      <c r="K165" s="64"/>
      <c r="L165" s="64"/>
      <c r="M165" s="64"/>
      <c r="N165" s="64"/>
    </row>
    <row r="166" spans="1:14" x14ac:dyDescent="0.2">
      <c r="A166" s="66"/>
      <c r="B166" s="67"/>
      <c r="C166" s="68"/>
      <c r="D166" s="72"/>
      <c r="E166" s="70"/>
      <c r="F166" s="70"/>
      <c r="G166" s="70"/>
      <c r="H166" s="70"/>
      <c r="I166" s="70"/>
      <c r="J166" s="64"/>
      <c r="K166" s="64"/>
      <c r="L166" s="64"/>
      <c r="M166" s="64"/>
      <c r="N166" s="64"/>
    </row>
    <row r="167" spans="1:14" x14ac:dyDescent="0.2">
      <c r="A167" s="66"/>
      <c r="B167" s="67"/>
      <c r="C167" s="68"/>
      <c r="D167" s="69"/>
      <c r="E167" s="70"/>
      <c r="F167" s="70"/>
      <c r="G167" s="70"/>
      <c r="H167" s="70"/>
      <c r="I167" s="70"/>
      <c r="J167" s="64"/>
      <c r="K167" s="64"/>
      <c r="L167" s="64"/>
      <c r="M167" s="64"/>
      <c r="N167" s="64"/>
    </row>
    <row r="168" spans="1:14" x14ac:dyDescent="0.2">
      <c r="A168" s="66"/>
      <c r="B168" s="67"/>
      <c r="C168" s="68"/>
      <c r="D168" s="69"/>
      <c r="E168" s="70"/>
      <c r="F168" s="70"/>
      <c r="G168" s="70"/>
      <c r="H168" s="70"/>
      <c r="I168" s="70"/>
      <c r="J168" s="64"/>
      <c r="K168" s="64"/>
      <c r="L168" s="64"/>
      <c r="M168" s="64"/>
      <c r="N168" s="64"/>
    </row>
    <row r="169" spans="1:14" x14ac:dyDescent="0.2">
      <c r="A169" s="66"/>
      <c r="B169" s="67"/>
      <c r="C169" s="68"/>
      <c r="D169" s="69"/>
      <c r="E169" s="70"/>
      <c r="F169" s="70"/>
      <c r="G169" s="70"/>
      <c r="H169" s="70"/>
      <c r="I169" s="70"/>
      <c r="J169" s="64"/>
      <c r="K169" s="64"/>
      <c r="L169" s="64"/>
      <c r="M169" s="64"/>
      <c r="N169" s="64"/>
    </row>
    <row r="170" spans="1:14" x14ac:dyDescent="0.2">
      <c r="A170" s="66"/>
      <c r="B170" s="67"/>
      <c r="C170" s="68"/>
      <c r="D170" s="69"/>
      <c r="E170" s="70"/>
      <c r="F170" s="70"/>
      <c r="G170" s="70"/>
      <c r="H170" s="70"/>
      <c r="I170" s="70"/>
      <c r="J170" s="64"/>
      <c r="K170" s="64"/>
      <c r="L170" s="64"/>
      <c r="M170" s="64"/>
      <c r="N170" s="64"/>
    </row>
    <row r="171" spans="1:14" x14ac:dyDescent="0.2">
      <c r="A171" s="66"/>
      <c r="B171" s="67"/>
      <c r="C171" s="68"/>
      <c r="D171" s="69"/>
      <c r="E171" s="70"/>
      <c r="F171" s="70"/>
      <c r="G171" s="70"/>
      <c r="H171" s="70"/>
      <c r="I171" s="70"/>
      <c r="J171" s="64"/>
      <c r="K171" s="64"/>
      <c r="L171" s="64"/>
      <c r="M171" s="64"/>
      <c r="N171" s="64"/>
    </row>
    <row r="172" spans="1:14" x14ac:dyDescent="0.2">
      <c r="A172" s="66"/>
      <c r="B172" s="67"/>
      <c r="C172" s="68"/>
      <c r="D172" s="69"/>
      <c r="E172" s="70"/>
      <c r="F172" s="70"/>
      <c r="G172" s="70"/>
      <c r="H172" s="70"/>
      <c r="I172" s="70"/>
      <c r="J172" s="64"/>
      <c r="K172" s="64"/>
      <c r="L172" s="64"/>
      <c r="M172" s="64"/>
      <c r="N172" s="64"/>
    </row>
    <row r="173" spans="1:14" x14ac:dyDescent="0.2">
      <c r="A173" s="66"/>
      <c r="B173" s="67"/>
      <c r="C173" s="68"/>
      <c r="D173" s="69"/>
      <c r="E173" s="70"/>
      <c r="F173" s="70"/>
      <c r="G173" s="70"/>
      <c r="H173" s="70"/>
      <c r="I173" s="70"/>
      <c r="J173" s="64"/>
      <c r="K173" s="64"/>
      <c r="L173" s="64"/>
      <c r="M173" s="64"/>
      <c r="N173" s="64"/>
    </row>
    <row r="174" spans="1:14" x14ac:dyDescent="0.2">
      <c r="A174" s="66"/>
      <c r="B174" s="67"/>
      <c r="C174" s="68"/>
      <c r="D174" s="69"/>
      <c r="E174" s="70"/>
      <c r="F174" s="70"/>
      <c r="G174" s="70"/>
      <c r="H174" s="70"/>
      <c r="I174" s="71"/>
      <c r="J174" s="64"/>
      <c r="K174" s="64"/>
      <c r="L174" s="64"/>
      <c r="M174" s="64"/>
      <c r="N174" s="64"/>
    </row>
    <row r="175" spans="1:14" x14ac:dyDescent="0.2">
      <c r="A175" s="66"/>
      <c r="B175" s="67"/>
      <c r="C175" s="68"/>
      <c r="D175" s="68"/>
      <c r="E175" s="76"/>
      <c r="F175" s="76"/>
      <c r="G175" s="76"/>
      <c r="H175" s="71"/>
      <c r="I175" s="71"/>
      <c r="J175" s="64"/>
      <c r="K175" s="64"/>
      <c r="L175" s="64"/>
      <c r="M175" s="64"/>
      <c r="N175" s="64"/>
    </row>
    <row r="176" spans="1:14" x14ac:dyDescent="0.2">
      <c r="A176" s="66"/>
      <c r="B176" s="67"/>
      <c r="C176" s="68"/>
      <c r="D176" s="72"/>
      <c r="E176" s="70"/>
      <c r="F176" s="70"/>
      <c r="G176" s="70"/>
      <c r="H176" s="70"/>
      <c r="I176" s="70"/>
      <c r="J176" s="64"/>
      <c r="K176" s="64"/>
      <c r="L176" s="64"/>
      <c r="M176" s="64"/>
      <c r="N176" s="64"/>
    </row>
    <row r="177" spans="1:14" x14ac:dyDescent="0.2">
      <c r="A177" s="66"/>
      <c r="B177" s="67"/>
      <c r="C177" s="68"/>
      <c r="D177" s="72"/>
      <c r="E177" s="70"/>
      <c r="F177" s="70"/>
      <c r="G177" s="70"/>
      <c r="H177" s="70"/>
      <c r="I177" s="70"/>
      <c r="J177" s="64"/>
      <c r="K177" s="64"/>
      <c r="L177" s="64"/>
      <c r="M177" s="64"/>
      <c r="N177" s="64"/>
    </row>
    <row r="178" spans="1:14" x14ac:dyDescent="0.2">
      <c r="A178" s="66"/>
      <c r="B178" s="67"/>
      <c r="C178" s="68"/>
      <c r="D178" s="72"/>
      <c r="E178" s="70"/>
      <c r="F178" s="70"/>
      <c r="G178" s="70"/>
      <c r="H178" s="70"/>
      <c r="I178" s="70"/>
      <c r="J178" s="64"/>
      <c r="K178" s="64"/>
      <c r="L178" s="64"/>
      <c r="M178" s="64"/>
      <c r="N178" s="64"/>
    </row>
    <row r="179" spans="1:14" x14ac:dyDescent="0.2">
      <c r="A179" s="66"/>
      <c r="B179" s="67"/>
      <c r="C179" s="68"/>
      <c r="D179" s="72"/>
      <c r="E179" s="70"/>
      <c r="F179" s="70"/>
      <c r="G179" s="70"/>
      <c r="H179" s="70"/>
      <c r="I179" s="70"/>
      <c r="J179" s="64"/>
      <c r="K179" s="64"/>
      <c r="L179" s="64"/>
      <c r="M179" s="64"/>
      <c r="N179" s="64"/>
    </row>
    <row r="180" spans="1:14" x14ac:dyDescent="0.2">
      <c r="A180" s="66"/>
      <c r="B180" s="67"/>
      <c r="C180" s="68"/>
      <c r="D180" s="72"/>
      <c r="E180" s="70"/>
      <c r="F180" s="70"/>
      <c r="G180" s="70"/>
      <c r="H180" s="70"/>
      <c r="I180" s="70"/>
      <c r="J180" s="64"/>
      <c r="K180" s="64"/>
      <c r="L180" s="64"/>
      <c r="M180" s="64"/>
      <c r="N180" s="64"/>
    </row>
    <row r="181" spans="1:14" x14ac:dyDescent="0.2">
      <c r="A181" s="66"/>
      <c r="B181" s="67"/>
      <c r="C181" s="68"/>
      <c r="D181" s="72"/>
      <c r="E181" s="70"/>
      <c r="F181" s="70"/>
      <c r="G181" s="70"/>
      <c r="H181" s="70"/>
      <c r="I181" s="70"/>
      <c r="J181" s="64"/>
      <c r="K181" s="64"/>
      <c r="L181" s="64"/>
      <c r="M181" s="64"/>
      <c r="N181" s="64"/>
    </row>
    <row r="182" spans="1:14" x14ac:dyDescent="0.2">
      <c r="A182" s="66"/>
      <c r="B182" s="67"/>
      <c r="C182" s="68"/>
      <c r="D182" s="69"/>
      <c r="E182" s="70"/>
      <c r="F182" s="70"/>
      <c r="G182" s="70"/>
      <c r="H182" s="70"/>
      <c r="I182" s="70"/>
      <c r="J182" s="64"/>
      <c r="K182" s="64"/>
      <c r="L182" s="64"/>
      <c r="M182" s="64"/>
      <c r="N182" s="64"/>
    </row>
    <row r="183" spans="1:14" x14ac:dyDescent="0.2">
      <c r="A183" s="66"/>
      <c r="B183" s="67"/>
      <c r="C183" s="68"/>
      <c r="D183" s="69"/>
      <c r="E183" s="70"/>
      <c r="F183" s="70"/>
      <c r="G183" s="70"/>
      <c r="H183" s="70"/>
      <c r="I183" s="70"/>
      <c r="J183" s="64"/>
      <c r="K183" s="64"/>
      <c r="L183" s="64"/>
      <c r="M183" s="64"/>
      <c r="N183" s="64"/>
    </row>
    <row r="184" spans="1:14" x14ac:dyDescent="0.2">
      <c r="A184" s="66"/>
      <c r="B184" s="67"/>
      <c r="C184" s="68"/>
      <c r="D184" s="69"/>
      <c r="E184" s="70"/>
      <c r="F184" s="70"/>
      <c r="G184" s="70"/>
      <c r="H184" s="70"/>
      <c r="I184" s="70"/>
      <c r="J184" s="64"/>
      <c r="K184" s="64"/>
      <c r="L184" s="64"/>
      <c r="M184" s="64"/>
      <c r="N184" s="64"/>
    </row>
    <row r="185" spans="1:14" x14ac:dyDescent="0.2">
      <c r="A185" s="66"/>
      <c r="B185" s="67"/>
      <c r="C185" s="68"/>
      <c r="D185" s="69"/>
      <c r="E185" s="70"/>
      <c r="F185" s="70"/>
      <c r="G185" s="70"/>
      <c r="H185" s="70"/>
      <c r="I185" s="70"/>
      <c r="J185" s="64"/>
      <c r="K185" s="64"/>
      <c r="L185" s="64"/>
      <c r="M185" s="64"/>
      <c r="N185" s="64"/>
    </row>
    <row r="186" spans="1:14" x14ac:dyDescent="0.2">
      <c r="A186" s="66"/>
      <c r="B186" s="67"/>
      <c r="C186" s="68"/>
      <c r="D186" s="69"/>
      <c r="E186" s="70"/>
      <c r="F186" s="70"/>
      <c r="G186" s="70"/>
      <c r="H186" s="70"/>
      <c r="I186" s="70"/>
      <c r="J186" s="64"/>
      <c r="K186" s="64"/>
      <c r="L186" s="64"/>
      <c r="M186" s="64"/>
      <c r="N186" s="64"/>
    </row>
    <row r="187" spans="1:14" x14ac:dyDescent="0.2">
      <c r="A187" s="66"/>
      <c r="B187" s="67"/>
      <c r="C187" s="68"/>
      <c r="D187" s="69"/>
      <c r="E187" s="70"/>
      <c r="F187" s="70"/>
      <c r="G187" s="70"/>
      <c r="H187" s="70"/>
      <c r="I187" s="70"/>
      <c r="J187" s="64"/>
      <c r="K187" s="64"/>
      <c r="L187" s="64"/>
      <c r="M187" s="64"/>
      <c r="N187" s="64"/>
    </row>
    <row r="188" spans="1:14" x14ac:dyDescent="0.2">
      <c r="A188" s="66"/>
      <c r="B188" s="67"/>
      <c r="C188" s="68"/>
      <c r="D188" s="69"/>
      <c r="E188" s="70"/>
      <c r="F188" s="70"/>
      <c r="G188" s="70"/>
      <c r="H188" s="70"/>
      <c r="I188" s="70"/>
      <c r="J188" s="64"/>
      <c r="K188" s="64"/>
      <c r="L188" s="64"/>
      <c r="M188" s="64"/>
      <c r="N188" s="64"/>
    </row>
    <row r="189" spans="1:14" x14ac:dyDescent="0.2">
      <c r="A189" s="66"/>
      <c r="B189" s="67"/>
      <c r="C189" s="68"/>
      <c r="D189" s="69"/>
      <c r="E189" s="70"/>
      <c r="F189" s="70"/>
      <c r="G189" s="70"/>
      <c r="H189" s="70"/>
      <c r="I189" s="71"/>
      <c r="J189" s="64"/>
      <c r="K189" s="64"/>
      <c r="L189" s="64"/>
      <c r="M189" s="64"/>
      <c r="N189" s="64"/>
    </row>
    <row r="190" spans="1:14" x14ac:dyDescent="0.2">
      <c r="A190" s="66"/>
      <c r="B190" s="67"/>
      <c r="C190" s="68"/>
      <c r="D190" s="68"/>
      <c r="E190" s="76"/>
      <c r="F190" s="76"/>
      <c r="G190" s="76"/>
      <c r="H190" s="71"/>
      <c r="I190" s="71"/>
      <c r="J190" s="64"/>
      <c r="K190" s="64"/>
      <c r="L190" s="64"/>
      <c r="M190" s="64"/>
      <c r="N190" s="64"/>
    </row>
    <row r="191" spans="1:14" x14ac:dyDescent="0.2">
      <c r="A191" s="66"/>
      <c r="B191" s="67"/>
      <c r="C191" s="68"/>
      <c r="D191" s="72"/>
      <c r="E191" s="70"/>
      <c r="F191" s="70"/>
      <c r="G191" s="70"/>
      <c r="H191" s="70"/>
      <c r="I191" s="70"/>
      <c r="J191" s="64"/>
      <c r="K191" s="64"/>
      <c r="L191" s="64"/>
      <c r="M191" s="64"/>
      <c r="N191" s="64"/>
    </row>
    <row r="192" spans="1:14" x14ac:dyDescent="0.2">
      <c r="A192" s="66"/>
      <c r="B192" s="67"/>
      <c r="C192" s="68"/>
      <c r="D192" s="72"/>
      <c r="E192" s="70"/>
      <c r="F192" s="70"/>
      <c r="G192" s="70"/>
      <c r="H192" s="70"/>
      <c r="I192" s="70"/>
      <c r="J192" s="64"/>
      <c r="K192" s="64"/>
      <c r="L192" s="64"/>
      <c r="M192" s="64"/>
      <c r="N192" s="64"/>
    </row>
    <row r="193" spans="1:14" x14ac:dyDescent="0.2">
      <c r="A193" s="66"/>
      <c r="B193" s="67"/>
      <c r="C193" s="68"/>
      <c r="D193" s="72"/>
      <c r="E193" s="70"/>
      <c r="F193" s="70"/>
      <c r="G193" s="70"/>
      <c r="H193" s="70"/>
      <c r="I193" s="70"/>
      <c r="J193" s="64"/>
      <c r="K193" s="64"/>
      <c r="L193" s="64"/>
      <c r="M193" s="64"/>
      <c r="N193" s="64"/>
    </row>
    <row r="194" spans="1:14" x14ac:dyDescent="0.2">
      <c r="A194" s="66"/>
      <c r="B194" s="67"/>
      <c r="C194" s="68"/>
      <c r="D194" s="72"/>
      <c r="E194" s="70"/>
      <c r="F194" s="70"/>
      <c r="G194" s="70"/>
      <c r="H194" s="70"/>
      <c r="I194" s="70"/>
      <c r="J194" s="64"/>
      <c r="K194" s="64"/>
      <c r="L194" s="64"/>
      <c r="M194" s="64"/>
      <c r="N194" s="64"/>
    </row>
    <row r="195" spans="1:14" x14ac:dyDescent="0.2">
      <c r="A195" s="66"/>
      <c r="B195" s="67"/>
      <c r="C195" s="68"/>
      <c r="D195" s="72"/>
      <c r="E195" s="70"/>
      <c r="F195" s="70"/>
      <c r="G195" s="70"/>
      <c r="H195" s="70"/>
      <c r="I195" s="70"/>
      <c r="J195" s="64"/>
      <c r="K195" s="64"/>
      <c r="L195" s="64"/>
      <c r="M195" s="64"/>
      <c r="N195" s="64"/>
    </row>
    <row r="196" spans="1:14" x14ac:dyDescent="0.2">
      <c r="A196" s="66"/>
      <c r="B196" s="67"/>
      <c r="C196" s="68"/>
      <c r="D196" s="72"/>
      <c r="E196" s="70"/>
      <c r="F196" s="70"/>
      <c r="G196" s="70"/>
      <c r="H196" s="70"/>
      <c r="I196" s="70"/>
      <c r="J196" s="64"/>
      <c r="K196" s="64"/>
      <c r="L196" s="64"/>
      <c r="M196" s="64"/>
      <c r="N196" s="64"/>
    </row>
    <row r="197" spans="1:14" x14ac:dyDescent="0.2">
      <c r="A197" s="66"/>
      <c r="B197" s="67"/>
      <c r="C197" s="68"/>
      <c r="D197" s="69"/>
      <c r="E197" s="70"/>
      <c r="F197" s="70"/>
      <c r="G197" s="70"/>
      <c r="H197" s="70"/>
      <c r="I197" s="70"/>
      <c r="J197" s="64"/>
      <c r="K197" s="64"/>
      <c r="L197" s="64"/>
      <c r="M197" s="64"/>
      <c r="N197" s="64"/>
    </row>
    <row r="198" spans="1:14" x14ac:dyDescent="0.2">
      <c r="A198" s="66"/>
      <c r="B198" s="67"/>
      <c r="C198" s="68"/>
      <c r="D198" s="69"/>
      <c r="E198" s="70"/>
      <c r="F198" s="70"/>
      <c r="G198" s="70"/>
      <c r="H198" s="70"/>
      <c r="I198" s="70"/>
      <c r="J198" s="64"/>
      <c r="K198" s="64"/>
      <c r="L198" s="64"/>
      <c r="M198" s="64"/>
      <c r="N198" s="64"/>
    </row>
    <row r="199" spans="1:14" x14ac:dyDescent="0.2">
      <c r="A199" s="66"/>
      <c r="B199" s="67"/>
      <c r="C199" s="68"/>
      <c r="D199" s="69"/>
      <c r="E199" s="70"/>
      <c r="F199" s="70"/>
      <c r="G199" s="70"/>
      <c r="H199" s="70"/>
      <c r="I199" s="70"/>
      <c r="J199" s="64"/>
      <c r="K199" s="64"/>
      <c r="L199" s="64"/>
      <c r="M199" s="64"/>
      <c r="N199" s="64"/>
    </row>
    <row r="200" spans="1:14" x14ac:dyDescent="0.2">
      <c r="A200" s="66"/>
      <c r="B200" s="67"/>
      <c r="C200" s="68"/>
      <c r="D200" s="69"/>
      <c r="E200" s="70"/>
      <c r="F200" s="70"/>
      <c r="G200" s="70"/>
      <c r="H200" s="70"/>
      <c r="I200" s="70"/>
      <c r="J200" s="64"/>
      <c r="K200" s="64"/>
      <c r="L200" s="64"/>
      <c r="M200" s="64"/>
      <c r="N200" s="64"/>
    </row>
    <row r="201" spans="1:14" x14ac:dyDescent="0.2">
      <c r="A201" s="66"/>
      <c r="B201" s="67"/>
      <c r="C201" s="68"/>
      <c r="D201" s="69"/>
      <c r="E201" s="70"/>
      <c r="F201" s="70"/>
      <c r="G201" s="70"/>
      <c r="H201" s="70"/>
      <c r="I201" s="70"/>
      <c r="J201" s="64"/>
      <c r="K201" s="64"/>
      <c r="L201" s="64"/>
      <c r="M201" s="64"/>
      <c r="N201" s="64"/>
    </row>
    <row r="202" spans="1:14" x14ac:dyDescent="0.2">
      <c r="A202" s="66"/>
      <c r="B202" s="67"/>
      <c r="C202" s="68"/>
      <c r="D202" s="69"/>
      <c r="E202" s="70"/>
      <c r="F202" s="70"/>
      <c r="G202" s="70"/>
      <c r="H202" s="70"/>
      <c r="I202" s="70"/>
      <c r="J202" s="64"/>
      <c r="K202" s="64"/>
      <c r="L202" s="64"/>
      <c r="M202" s="64"/>
      <c r="N202" s="64"/>
    </row>
    <row r="203" spans="1:14" x14ac:dyDescent="0.2">
      <c r="A203" s="66"/>
      <c r="B203" s="67"/>
      <c r="C203" s="68"/>
      <c r="D203" s="69"/>
      <c r="E203" s="70"/>
      <c r="F203" s="70"/>
      <c r="G203" s="70"/>
      <c r="H203" s="70"/>
      <c r="I203" s="70"/>
      <c r="J203" s="64"/>
      <c r="K203" s="64"/>
      <c r="L203" s="64"/>
      <c r="M203" s="64"/>
      <c r="N203" s="64"/>
    </row>
    <row r="204" spans="1:14" x14ac:dyDescent="0.2">
      <c r="A204" s="66"/>
      <c r="B204" s="67"/>
      <c r="C204" s="68"/>
      <c r="D204" s="69"/>
      <c r="E204" s="70"/>
      <c r="F204" s="70"/>
      <c r="G204" s="70"/>
      <c r="H204" s="70"/>
      <c r="I204" s="70"/>
      <c r="J204" s="64"/>
      <c r="K204" s="64"/>
      <c r="L204" s="64"/>
      <c r="M204" s="64"/>
      <c r="N204" s="64"/>
    </row>
    <row r="205" spans="1:14" x14ac:dyDescent="0.2">
      <c r="A205" s="66"/>
      <c r="B205" s="67"/>
      <c r="C205" s="68"/>
      <c r="D205" s="69"/>
      <c r="E205" s="70"/>
      <c r="F205" s="70"/>
      <c r="G205" s="70"/>
      <c r="H205" s="70"/>
      <c r="I205" s="71"/>
      <c r="J205" s="64"/>
      <c r="K205" s="64"/>
      <c r="L205" s="64"/>
      <c r="M205" s="64"/>
      <c r="N205" s="64"/>
    </row>
    <row r="206" spans="1:14" x14ac:dyDescent="0.2">
      <c r="A206" s="66"/>
      <c r="B206" s="67"/>
      <c r="C206" s="68"/>
      <c r="D206" s="69"/>
      <c r="E206" s="70"/>
      <c r="F206" s="70"/>
      <c r="G206" s="70"/>
      <c r="H206" s="70"/>
      <c r="I206" s="70"/>
      <c r="J206" s="64"/>
      <c r="K206" s="64"/>
      <c r="L206" s="64"/>
      <c r="M206" s="64"/>
      <c r="N206" s="64"/>
    </row>
    <row r="207" spans="1:14" x14ac:dyDescent="0.2">
      <c r="A207" s="66"/>
      <c r="B207" s="67"/>
      <c r="C207" s="71"/>
      <c r="D207" s="71"/>
      <c r="E207" s="70"/>
      <c r="F207" s="70"/>
      <c r="G207" s="70"/>
      <c r="H207" s="70"/>
      <c r="I207" s="71"/>
      <c r="J207" s="64"/>
      <c r="K207" s="64"/>
      <c r="L207" s="64"/>
      <c r="M207" s="64"/>
      <c r="N207" s="64"/>
    </row>
    <row r="208" spans="1:14" x14ac:dyDescent="0.2">
      <c r="A208" s="66"/>
      <c r="B208" s="67"/>
      <c r="C208" s="71"/>
      <c r="D208" s="71"/>
      <c r="E208" s="70"/>
      <c r="F208" s="70"/>
      <c r="G208" s="70"/>
      <c r="H208" s="70"/>
      <c r="I208" s="71"/>
      <c r="J208" s="64"/>
      <c r="K208" s="64"/>
      <c r="L208" s="64"/>
      <c r="M208" s="64"/>
      <c r="N208" s="64"/>
    </row>
    <row r="209" spans="1:14" x14ac:dyDescent="0.2">
      <c r="A209" s="66"/>
      <c r="B209" s="67"/>
      <c r="C209" s="71"/>
      <c r="D209" s="71"/>
      <c r="E209" s="70"/>
      <c r="F209" s="70"/>
      <c r="G209" s="70"/>
      <c r="H209" s="70"/>
      <c r="I209" s="71"/>
      <c r="J209" s="64"/>
      <c r="K209" s="64"/>
      <c r="L209" s="64"/>
      <c r="M209" s="64"/>
      <c r="N209" s="64"/>
    </row>
    <row r="210" spans="1:14" x14ac:dyDescent="0.2">
      <c r="A210" s="66"/>
      <c r="B210" s="67"/>
      <c r="C210" s="68"/>
      <c r="D210" s="68"/>
      <c r="E210" s="70"/>
      <c r="F210" s="70"/>
      <c r="G210" s="70"/>
      <c r="H210" s="70"/>
      <c r="I210" s="70"/>
      <c r="J210" s="64"/>
      <c r="K210" s="64"/>
      <c r="L210" s="64"/>
      <c r="M210" s="64"/>
      <c r="N210" s="64"/>
    </row>
    <row r="211" spans="1:14" x14ac:dyDescent="0.2">
      <c r="A211" s="66"/>
      <c r="B211" s="67"/>
      <c r="C211" s="71"/>
      <c r="D211" s="71"/>
      <c r="E211" s="70"/>
      <c r="F211" s="70"/>
      <c r="G211" s="70"/>
      <c r="H211" s="70"/>
      <c r="I211" s="71"/>
      <c r="J211" s="64"/>
      <c r="K211" s="64"/>
      <c r="L211" s="64"/>
      <c r="M211" s="64"/>
      <c r="N211" s="64"/>
    </row>
    <row r="212" spans="1:14" x14ac:dyDescent="0.2">
      <c r="A212" s="66"/>
      <c r="B212" s="67"/>
      <c r="C212" s="68"/>
      <c r="D212" s="69"/>
      <c r="E212" s="70"/>
      <c r="F212" s="70"/>
      <c r="G212" s="70"/>
      <c r="H212" s="70"/>
      <c r="I212" s="70"/>
      <c r="J212" s="64"/>
      <c r="K212" s="64"/>
      <c r="L212" s="64"/>
      <c r="M212" s="64"/>
      <c r="N212" s="64"/>
    </row>
    <row r="213" spans="1:14" x14ac:dyDescent="0.2">
      <c r="A213" s="66"/>
      <c r="B213" s="67"/>
      <c r="C213" s="68"/>
      <c r="D213" s="69"/>
      <c r="E213" s="70"/>
      <c r="F213" s="70"/>
      <c r="G213" s="70"/>
      <c r="H213" s="70"/>
      <c r="I213" s="71"/>
      <c r="J213" s="64"/>
      <c r="K213" s="64"/>
      <c r="L213" s="64"/>
      <c r="M213" s="64"/>
      <c r="N213" s="64"/>
    </row>
    <row r="214" spans="1:14" x14ac:dyDescent="0.2">
      <c r="A214" s="66"/>
      <c r="B214" s="67"/>
      <c r="C214" s="68"/>
      <c r="D214" s="69"/>
      <c r="E214" s="70"/>
      <c r="F214" s="70"/>
      <c r="G214" s="70"/>
      <c r="H214" s="70"/>
      <c r="I214" s="71"/>
      <c r="J214" s="64"/>
      <c r="K214" s="64"/>
      <c r="L214" s="64"/>
      <c r="M214" s="64"/>
      <c r="N214" s="64"/>
    </row>
    <row r="215" spans="1:14" x14ac:dyDescent="0.2">
      <c r="A215" s="66"/>
      <c r="B215" s="67"/>
      <c r="C215" s="68"/>
      <c r="D215" s="69"/>
      <c r="E215" s="70"/>
      <c r="F215" s="70"/>
      <c r="G215" s="70"/>
      <c r="H215" s="70"/>
      <c r="I215" s="71"/>
      <c r="J215" s="64"/>
      <c r="K215" s="64"/>
      <c r="L215" s="64"/>
      <c r="M215" s="64"/>
      <c r="N215" s="64"/>
    </row>
    <row r="216" spans="1:14" x14ac:dyDescent="0.2">
      <c r="A216" s="66"/>
      <c r="B216" s="67"/>
      <c r="C216" s="68"/>
      <c r="D216" s="69"/>
      <c r="E216" s="70"/>
      <c r="F216" s="70"/>
      <c r="G216" s="70"/>
      <c r="H216" s="70"/>
      <c r="I216" s="71"/>
      <c r="J216" s="64"/>
      <c r="K216" s="64"/>
      <c r="L216" s="64"/>
      <c r="M216" s="64"/>
      <c r="N216" s="64"/>
    </row>
    <row r="217" spans="1:14" x14ac:dyDescent="0.2">
      <c r="A217" s="66"/>
      <c r="B217" s="67"/>
      <c r="C217" s="68"/>
      <c r="D217" s="69"/>
      <c r="E217" s="70"/>
      <c r="F217" s="70"/>
      <c r="G217" s="70"/>
      <c r="H217" s="70"/>
      <c r="I217" s="71"/>
      <c r="J217" s="64"/>
      <c r="K217" s="64"/>
      <c r="L217" s="64"/>
      <c r="M217" s="64"/>
      <c r="N217" s="64"/>
    </row>
    <row r="218" spans="1:14" x14ac:dyDescent="0.2">
      <c r="A218" s="66"/>
      <c r="B218" s="67"/>
      <c r="C218" s="68"/>
      <c r="D218" s="69"/>
      <c r="E218" s="70"/>
      <c r="F218" s="70"/>
      <c r="G218" s="70"/>
      <c r="H218" s="70"/>
      <c r="I218" s="71"/>
      <c r="J218" s="64"/>
      <c r="K218" s="64"/>
      <c r="L218" s="64"/>
      <c r="M218" s="64"/>
      <c r="N218" s="64"/>
    </row>
    <row r="219" spans="1:14" x14ac:dyDescent="0.2">
      <c r="A219" s="66"/>
      <c r="B219" s="67"/>
      <c r="C219" s="68"/>
      <c r="D219" s="69"/>
      <c r="E219" s="70"/>
      <c r="F219" s="70"/>
      <c r="G219" s="70"/>
      <c r="H219" s="70"/>
      <c r="I219" s="71"/>
      <c r="J219" s="64"/>
      <c r="K219" s="64"/>
      <c r="L219" s="64"/>
      <c r="M219" s="64"/>
      <c r="N219" s="64"/>
    </row>
    <row r="220" spans="1:14" x14ac:dyDescent="0.2">
      <c r="A220" s="66"/>
      <c r="B220" s="67"/>
      <c r="C220" s="68"/>
      <c r="D220" s="69"/>
      <c r="E220" s="70"/>
      <c r="F220" s="70"/>
      <c r="G220" s="70"/>
      <c r="H220" s="70"/>
      <c r="I220" s="71"/>
      <c r="J220" s="64"/>
      <c r="K220" s="64"/>
      <c r="L220" s="64"/>
      <c r="M220" s="64"/>
      <c r="N220" s="64"/>
    </row>
    <row r="221" spans="1:14" x14ac:dyDescent="0.2">
      <c r="A221" s="66"/>
      <c r="B221" s="67"/>
      <c r="C221" s="68"/>
      <c r="D221" s="69"/>
      <c r="E221" s="70"/>
      <c r="F221" s="70"/>
      <c r="G221" s="70"/>
      <c r="H221" s="70"/>
      <c r="I221" s="71"/>
      <c r="J221" s="64"/>
      <c r="K221" s="64"/>
      <c r="L221" s="64"/>
      <c r="M221" s="64"/>
      <c r="N221" s="64"/>
    </row>
    <row r="222" spans="1:14" x14ac:dyDescent="0.2">
      <c r="A222" s="66"/>
      <c r="B222" s="67"/>
      <c r="C222" s="68"/>
      <c r="D222" s="69"/>
      <c r="E222" s="70"/>
      <c r="F222" s="70"/>
      <c r="G222" s="70"/>
      <c r="H222" s="70"/>
      <c r="I222" s="71"/>
      <c r="J222" s="64"/>
      <c r="K222" s="64"/>
      <c r="L222" s="64"/>
      <c r="M222" s="64"/>
      <c r="N222" s="64"/>
    </row>
    <row r="223" spans="1:14" x14ac:dyDescent="0.2">
      <c r="A223" s="66"/>
      <c r="B223" s="67"/>
      <c r="C223" s="68"/>
      <c r="D223" s="69"/>
      <c r="E223" s="70"/>
      <c r="F223" s="70"/>
      <c r="G223" s="70"/>
      <c r="H223" s="70"/>
      <c r="I223" s="70"/>
      <c r="J223" s="64"/>
      <c r="K223" s="64"/>
      <c r="L223" s="64"/>
      <c r="M223" s="64"/>
      <c r="N223" s="64"/>
    </row>
    <row r="224" spans="1:14" x14ac:dyDescent="0.2">
      <c r="A224" s="66"/>
      <c r="B224" s="67"/>
      <c r="C224" s="68"/>
      <c r="D224" s="69"/>
      <c r="E224" s="70"/>
      <c r="F224" s="70"/>
      <c r="G224" s="70"/>
      <c r="H224" s="70"/>
      <c r="I224" s="70"/>
      <c r="J224" s="64"/>
      <c r="K224" s="64"/>
      <c r="L224" s="64"/>
      <c r="M224" s="64"/>
      <c r="N224" s="64"/>
    </row>
    <row r="225" spans="1:14" x14ac:dyDescent="0.2">
      <c r="A225" s="66"/>
      <c r="B225" s="67"/>
      <c r="C225" s="68"/>
      <c r="D225" s="72"/>
      <c r="E225" s="70"/>
      <c r="F225" s="70"/>
      <c r="G225" s="70"/>
      <c r="H225" s="70"/>
      <c r="I225" s="71"/>
      <c r="J225" s="64"/>
      <c r="K225" s="64"/>
      <c r="L225" s="64"/>
      <c r="M225" s="64"/>
      <c r="N225" s="64"/>
    </row>
    <row r="226" spans="1:14" x14ac:dyDescent="0.2">
      <c r="A226" s="66"/>
      <c r="B226" s="67"/>
      <c r="C226" s="68"/>
      <c r="D226" s="72"/>
      <c r="E226" s="70"/>
      <c r="F226" s="70"/>
      <c r="G226" s="70"/>
      <c r="H226" s="70"/>
      <c r="I226" s="71"/>
      <c r="J226" s="64"/>
      <c r="K226" s="64"/>
      <c r="L226" s="64"/>
      <c r="M226" s="64"/>
      <c r="N226" s="64"/>
    </row>
    <row r="227" spans="1:14" x14ac:dyDescent="0.2">
      <c r="A227" s="66"/>
      <c r="B227" s="67"/>
      <c r="C227" s="68"/>
      <c r="D227" s="72"/>
      <c r="E227" s="70"/>
      <c r="F227" s="70"/>
      <c r="G227" s="70"/>
      <c r="H227" s="70"/>
      <c r="I227" s="71"/>
      <c r="J227" s="64"/>
      <c r="K227" s="64"/>
      <c r="L227" s="64"/>
      <c r="M227" s="64"/>
      <c r="N227" s="64"/>
    </row>
    <row r="228" spans="1:14" x14ac:dyDescent="0.2">
      <c r="A228" s="66"/>
      <c r="B228" s="67"/>
      <c r="C228" s="68"/>
      <c r="D228" s="77"/>
      <c r="E228" s="70"/>
      <c r="F228" s="70"/>
      <c r="G228" s="70"/>
      <c r="H228" s="70"/>
      <c r="I228" s="71"/>
      <c r="J228" s="64"/>
      <c r="K228" s="64"/>
      <c r="L228" s="64"/>
      <c r="M228" s="64"/>
      <c r="N228" s="64"/>
    </row>
    <row r="229" spans="1:14" x14ac:dyDescent="0.2">
      <c r="A229" s="66"/>
      <c r="B229" s="67"/>
      <c r="C229" s="68"/>
      <c r="D229" s="77"/>
      <c r="E229" s="70"/>
      <c r="F229" s="70"/>
      <c r="G229" s="70"/>
      <c r="H229" s="70"/>
      <c r="I229" s="71"/>
      <c r="J229" s="64"/>
      <c r="K229" s="64"/>
      <c r="L229" s="64"/>
      <c r="M229" s="64"/>
      <c r="N229" s="64"/>
    </row>
    <row r="230" spans="1:14" x14ac:dyDescent="0.2">
      <c r="A230" s="66"/>
      <c r="B230" s="67"/>
      <c r="C230" s="68"/>
      <c r="D230" s="77"/>
      <c r="E230" s="70"/>
      <c r="F230" s="70"/>
      <c r="G230" s="70"/>
      <c r="H230" s="70"/>
      <c r="I230" s="71"/>
      <c r="J230" s="64"/>
      <c r="K230" s="64"/>
      <c r="L230" s="64"/>
      <c r="M230" s="64"/>
      <c r="N230" s="64"/>
    </row>
    <row r="231" spans="1:14" x14ac:dyDescent="0.2">
      <c r="A231" s="66"/>
      <c r="B231" s="67"/>
      <c r="C231" s="68"/>
      <c r="D231" s="69"/>
      <c r="E231" s="70"/>
      <c r="F231" s="70"/>
      <c r="G231" s="70"/>
      <c r="H231" s="70"/>
      <c r="I231" s="71"/>
      <c r="J231" s="64"/>
      <c r="K231" s="64"/>
      <c r="L231" s="64"/>
      <c r="M231" s="64"/>
      <c r="N231" s="64"/>
    </row>
    <row r="232" spans="1:14" x14ac:dyDescent="0.2">
      <c r="A232" s="66"/>
      <c r="B232" s="67"/>
      <c r="C232" s="68"/>
      <c r="D232" s="69"/>
      <c r="E232" s="70"/>
      <c r="F232" s="70"/>
      <c r="G232" s="70"/>
      <c r="H232" s="70"/>
      <c r="I232" s="71"/>
      <c r="J232" s="64"/>
      <c r="K232" s="64"/>
      <c r="L232" s="64"/>
      <c r="M232" s="64"/>
      <c r="N232" s="64"/>
    </row>
    <row r="233" spans="1:14" x14ac:dyDescent="0.2">
      <c r="A233" s="66"/>
      <c r="B233" s="67"/>
      <c r="C233" s="68"/>
      <c r="D233" s="69"/>
      <c r="E233" s="70"/>
      <c r="F233" s="70"/>
      <c r="G233" s="70"/>
      <c r="H233" s="70"/>
      <c r="I233" s="70"/>
      <c r="J233" s="64"/>
      <c r="K233" s="64"/>
      <c r="L233" s="64"/>
      <c r="M233" s="64"/>
      <c r="N233" s="64"/>
    </row>
    <row r="234" spans="1:14" x14ac:dyDescent="0.2">
      <c r="A234" s="66"/>
      <c r="B234" s="67"/>
      <c r="C234" s="68"/>
      <c r="D234" s="69"/>
      <c r="E234" s="70"/>
      <c r="F234" s="70"/>
      <c r="G234" s="70"/>
      <c r="H234" s="70"/>
      <c r="I234" s="70"/>
      <c r="J234" s="64"/>
      <c r="K234" s="64"/>
      <c r="L234" s="64"/>
      <c r="M234" s="64"/>
      <c r="N234" s="64"/>
    </row>
    <row r="235" spans="1:14" x14ac:dyDescent="0.2">
      <c r="A235" s="66"/>
      <c r="B235" s="67"/>
      <c r="C235" s="68"/>
      <c r="D235" s="69"/>
      <c r="E235" s="70"/>
      <c r="F235" s="70"/>
      <c r="G235" s="70"/>
      <c r="H235" s="70"/>
      <c r="I235" s="71"/>
      <c r="J235" s="64"/>
      <c r="K235" s="64"/>
      <c r="L235" s="64"/>
      <c r="M235" s="64"/>
      <c r="N235" s="64"/>
    </row>
    <row r="236" spans="1:14" x14ac:dyDescent="0.2">
      <c r="A236" s="66"/>
      <c r="B236" s="67"/>
      <c r="C236" s="68"/>
      <c r="D236" s="69"/>
      <c r="E236" s="70"/>
      <c r="F236" s="70"/>
      <c r="G236" s="70"/>
      <c r="H236" s="70"/>
      <c r="I236" s="70"/>
      <c r="J236" s="64"/>
      <c r="K236" s="64"/>
      <c r="L236" s="64"/>
      <c r="M236" s="64"/>
      <c r="N236" s="64"/>
    </row>
    <row r="237" spans="1:14" x14ac:dyDescent="0.2">
      <c r="A237" s="66"/>
      <c r="B237" s="67"/>
      <c r="C237" s="68"/>
      <c r="D237" s="69"/>
      <c r="E237" s="70"/>
      <c r="F237" s="70"/>
      <c r="G237" s="70"/>
      <c r="H237" s="70"/>
      <c r="I237" s="71"/>
      <c r="J237" s="64"/>
      <c r="K237" s="64"/>
      <c r="L237" s="64"/>
      <c r="M237" s="64"/>
      <c r="N237" s="64"/>
    </row>
    <row r="238" spans="1:14" x14ac:dyDescent="0.2">
      <c r="A238" s="66"/>
      <c r="B238" s="67"/>
      <c r="C238" s="68"/>
      <c r="D238" s="69"/>
      <c r="E238" s="70"/>
      <c r="F238" s="70"/>
      <c r="G238" s="70"/>
      <c r="H238" s="70"/>
      <c r="I238" s="71"/>
      <c r="J238" s="64"/>
      <c r="K238" s="64"/>
      <c r="L238" s="64"/>
      <c r="M238" s="64"/>
      <c r="N238" s="64"/>
    </row>
    <row r="239" spans="1:14" x14ac:dyDescent="0.2">
      <c r="A239" s="66"/>
      <c r="B239" s="67"/>
      <c r="C239" s="68"/>
      <c r="D239" s="69"/>
      <c r="E239" s="70"/>
      <c r="F239" s="70"/>
      <c r="G239" s="70"/>
      <c r="H239" s="70"/>
      <c r="I239" s="71"/>
      <c r="J239" s="64"/>
      <c r="K239" s="64"/>
      <c r="L239" s="64"/>
      <c r="M239" s="64"/>
      <c r="N239" s="64"/>
    </row>
    <row r="240" spans="1:14" x14ac:dyDescent="0.2">
      <c r="A240" s="66"/>
      <c r="B240" s="67"/>
      <c r="C240" s="68"/>
      <c r="D240" s="69"/>
      <c r="E240" s="70"/>
      <c r="F240" s="70"/>
      <c r="G240" s="70"/>
      <c r="H240" s="70"/>
      <c r="I240" s="70"/>
      <c r="J240" s="64"/>
      <c r="K240" s="64"/>
      <c r="L240" s="64"/>
      <c r="M240" s="64"/>
      <c r="N240" s="64"/>
    </row>
    <row r="241" spans="1:14" x14ac:dyDescent="0.2">
      <c r="A241" s="66"/>
      <c r="B241" s="67"/>
      <c r="C241" s="68"/>
      <c r="D241" s="69"/>
      <c r="E241" s="70"/>
      <c r="F241" s="70"/>
      <c r="G241" s="70"/>
      <c r="H241" s="70"/>
      <c r="I241" s="71"/>
      <c r="J241" s="64"/>
      <c r="K241" s="64"/>
      <c r="L241" s="64"/>
      <c r="M241" s="64"/>
      <c r="N241" s="64"/>
    </row>
    <row r="242" spans="1:14" x14ac:dyDescent="0.2">
      <c r="A242" s="66"/>
      <c r="B242" s="67"/>
      <c r="C242" s="68"/>
      <c r="D242" s="69"/>
      <c r="E242" s="70"/>
      <c r="F242" s="70"/>
      <c r="G242" s="70"/>
      <c r="H242" s="70"/>
      <c r="I242" s="71"/>
      <c r="J242" s="64"/>
      <c r="K242" s="64"/>
      <c r="L242" s="64"/>
      <c r="M242" s="64"/>
      <c r="N242" s="64"/>
    </row>
    <row r="243" spans="1:14" x14ac:dyDescent="0.2">
      <c r="A243" s="66"/>
      <c r="B243" s="67"/>
      <c r="C243" s="68"/>
      <c r="D243" s="69"/>
      <c r="E243" s="70"/>
      <c r="F243" s="70"/>
      <c r="G243" s="70"/>
      <c r="H243" s="70"/>
      <c r="I243" s="71"/>
      <c r="J243" s="64"/>
      <c r="K243" s="64"/>
      <c r="L243" s="64"/>
      <c r="M243" s="64"/>
      <c r="N243" s="64"/>
    </row>
    <row r="244" spans="1:14" x14ac:dyDescent="0.2">
      <c r="A244" s="66"/>
      <c r="B244" s="67"/>
      <c r="C244" s="68"/>
      <c r="D244" s="69"/>
      <c r="E244" s="70"/>
      <c r="F244" s="70"/>
      <c r="G244" s="70"/>
      <c r="H244" s="70"/>
      <c r="I244" s="71"/>
      <c r="J244" s="64"/>
      <c r="K244" s="64"/>
      <c r="L244" s="64"/>
      <c r="M244" s="64"/>
      <c r="N244" s="64"/>
    </row>
    <row r="245" spans="1:14" x14ac:dyDescent="0.2">
      <c r="A245" s="66"/>
      <c r="B245" s="67"/>
      <c r="C245" s="68"/>
      <c r="D245" s="69"/>
      <c r="E245" s="70"/>
      <c r="F245" s="70"/>
      <c r="G245" s="70"/>
      <c r="H245" s="70"/>
      <c r="I245" s="71"/>
      <c r="J245" s="64"/>
      <c r="K245" s="64"/>
      <c r="L245" s="64"/>
      <c r="M245" s="64"/>
      <c r="N245" s="64"/>
    </row>
    <row r="246" spans="1:14" x14ac:dyDescent="0.2">
      <c r="A246" s="66"/>
      <c r="B246" s="67"/>
      <c r="C246" s="68"/>
      <c r="D246" s="69"/>
      <c r="E246" s="70"/>
      <c r="F246" s="70"/>
      <c r="G246" s="70"/>
      <c r="H246" s="70"/>
      <c r="I246" s="71"/>
      <c r="J246" s="64"/>
      <c r="K246" s="64"/>
      <c r="L246" s="64"/>
      <c r="M246" s="64"/>
      <c r="N246" s="64"/>
    </row>
    <row r="247" spans="1:14" x14ac:dyDescent="0.2">
      <c r="A247" s="66"/>
      <c r="B247" s="67"/>
      <c r="C247" s="68"/>
      <c r="D247" s="69"/>
      <c r="E247" s="70"/>
      <c r="F247" s="70"/>
      <c r="G247" s="70"/>
      <c r="H247" s="70"/>
      <c r="I247" s="71"/>
      <c r="J247" s="64"/>
      <c r="K247" s="64"/>
      <c r="L247" s="64"/>
      <c r="M247" s="64"/>
      <c r="N247" s="64"/>
    </row>
    <row r="248" spans="1:14" x14ac:dyDescent="0.2">
      <c r="A248" s="66"/>
      <c r="B248" s="67"/>
      <c r="C248" s="68"/>
      <c r="D248" s="69"/>
      <c r="E248" s="70"/>
      <c r="F248" s="70"/>
      <c r="G248" s="70"/>
      <c r="H248" s="70"/>
      <c r="I248" s="71"/>
      <c r="J248" s="64"/>
      <c r="K248" s="64"/>
      <c r="L248" s="64"/>
      <c r="M248" s="64"/>
      <c r="N248" s="64"/>
    </row>
    <row r="249" spans="1:14" x14ac:dyDescent="0.2">
      <c r="A249" s="66"/>
      <c r="B249" s="67"/>
      <c r="C249" s="68"/>
      <c r="D249" s="77"/>
      <c r="E249" s="77"/>
      <c r="F249" s="77"/>
      <c r="G249" s="77"/>
      <c r="H249" s="77"/>
      <c r="I249" s="71"/>
      <c r="J249" s="64"/>
      <c r="K249" s="64"/>
      <c r="L249" s="64"/>
      <c r="M249" s="64"/>
      <c r="N249" s="64"/>
    </row>
    <row r="250" spans="1:14" x14ac:dyDescent="0.2">
      <c r="A250" s="66"/>
      <c r="B250" s="67"/>
      <c r="C250" s="78"/>
      <c r="D250" s="77"/>
      <c r="E250" s="77"/>
      <c r="F250" s="77"/>
      <c r="G250" s="77"/>
      <c r="H250" s="77"/>
      <c r="I250" s="71"/>
    </row>
    <row r="251" spans="1:14" x14ac:dyDescent="0.2">
      <c r="A251" s="66"/>
      <c r="B251" s="67"/>
      <c r="C251" s="78"/>
      <c r="D251" s="77"/>
      <c r="E251" s="77"/>
      <c r="F251" s="77"/>
      <c r="G251" s="77"/>
      <c r="H251" s="77"/>
      <c r="I251" s="71"/>
    </row>
    <row r="252" spans="1:14" x14ac:dyDescent="0.2">
      <c r="A252" s="66"/>
      <c r="B252" s="67"/>
      <c r="C252" s="68"/>
      <c r="D252" s="69"/>
      <c r="E252" s="70"/>
      <c r="F252" s="70"/>
      <c r="G252" s="70"/>
      <c r="H252" s="70"/>
      <c r="I252" s="71"/>
    </row>
    <row r="253" spans="1:14" x14ac:dyDescent="0.2">
      <c r="A253" s="73"/>
      <c r="B253" s="74"/>
      <c r="C253" s="75"/>
      <c r="D253" s="69"/>
      <c r="E253" s="70"/>
      <c r="F253" s="70"/>
      <c r="G253" s="70"/>
      <c r="H253" s="70"/>
      <c r="I253" s="70"/>
    </row>
    <row r="254" spans="1:14" x14ac:dyDescent="0.2">
      <c r="A254" s="66"/>
      <c r="B254" s="67"/>
      <c r="C254" s="68"/>
      <c r="D254" s="69"/>
      <c r="E254" s="70"/>
      <c r="F254" s="70"/>
      <c r="G254" s="70"/>
      <c r="H254" s="70"/>
      <c r="I254" s="70"/>
    </row>
    <row r="255" spans="1:14" x14ac:dyDescent="0.2">
      <c r="A255" s="66"/>
      <c r="B255" s="67"/>
      <c r="C255" s="68"/>
      <c r="D255" s="69"/>
      <c r="E255" s="70"/>
      <c r="F255" s="70"/>
      <c r="G255" s="70"/>
      <c r="H255" s="70"/>
      <c r="I255" s="71"/>
    </row>
    <row r="256" spans="1:14" x14ac:dyDescent="0.2">
      <c r="A256" s="66"/>
      <c r="B256" s="67"/>
      <c r="C256" s="68"/>
      <c r="D256" s="69"/>
      <c r="E256" s="70"/>
      <c r="F256" s="70"/>
      <c r="G256" s="70"/>
      <c r="H256" s="70"/>
      <c r="I256" s="71"/>
    </row>
    <row r="257" spans="1:9" x14ac:dyDescent="0.2">
      <c r="A257" s="66"/>
      <c r="B257" s="67"/>
      <c r="C257" s="68"/>
      <c r="D257" s="69"/>
      <c r="E257" s="70"/>
      <c r="F257" s="70"/>
      <c r="G257" s="70"/>
      <c r="H257" s="70"/>
      <c r="I257" s="71"/>
    </row>
    <row r="258" spans="1:9" x14ac:dyDescent="0.2">
      <c r="A258" s="66"/>
      <c r="B258" s="67"/>
      <c r="C258" s="68"/>
      <c r="D258" s="69"/>
      <c r="E258" s="70"/>
      <c r="F258" s="70"/>
      <c r="G258" s="70"/>
      <c r="H258" s="70"/>
      <c r="I258" s="71"/>
    </row>
    <row r="259" spans="1:9" x14ac:dyDescent="0.2">
      <c r="A259" s="66"/>
      <c r="B259" s="67"/>
      <c r="C259" s="68"/>
      <c r="D259" s="69"/>
      <c r="E259" s="70"/>
      <c r="F259" s="70"/>
      <c r="G259" s="70"/>
      <c r="H259" s="70"/>
      <c r="I259" s="71"/>
    </row>
    <row r="260" spans="1:9" x14ac:dyDescent="0.2">
      <c r="A260" s="66"/>
      <c r="B260" s="67"/>
      <c r="C260" s="68"/>
      <c r="D260" s="69"/>
      <c r="E260" s="70"/>
      <c r="F260" s="70"/>
      <c r="G260" s="70"/>
      <c r="H260" s="70"/>
      <c r="I260" s="70"/>
    </row>
    <row r="261" spans="1:9" x14ac:dyDescent="0.2">
      <c r="A261" s="66"/>
      <c r="B261" s="67"/>
      <c r="C261" s="68"/>
      <c r="D261" s="69"/>
      <c r="E261" s="70"/>
      <c r="F261" s="70"/>
      <c r="G261" s="70"/>
      <c r="H261" s="70"/>
      <c r="I261" s="71"/>
    </row>
    <row r="262" spans="1:9" x14ac:dyDescent="0.2">
      <c r="A262" s="66"/>
      <c r="B262" s="67"/>
      <c r="C262" s="68"/>
      <c r="D262" s="69"/>
      <c r="E262" s="70"/>
      <c r="F262" s="70"/>
      <c r="G262" s="70"/>
      <c r="H262" s="70"/>
      <c r="I262" s="70"/>
    </row>
    <row r="263" spans="1:9" x14ac:dyDescent="0.2">
      <c r="A263" s="66"/>
      <c r="B263" s="67"/>
      <c r="C263" s="68"/>
      <c r="D263" s="69"/>
      <c r="E263" s="70"/>
      <c r="F263" s="70"/>
      <c r="G263" s="70"/>
      <c r="H263" s="70"/>
      <c r="I263" s="71"/>
    </row>
    <row r="264" spans="1:9" x14ac:dyDescent="0.2">
      <c r="A264" s="66"/>
      <c r="B264" s="67"/>
      <c r="C264" s="68"/>
      <c r="D264" s="69"/>
      <c r="E264" s="70"/>
      <c r="F264" s="70"/>
      <c r="G264" s="70"/>
      <c r="H264" s="70"/>
      <c r="I264" s="70"/>
    </row>
    <row r="265" spans="1:9" x14ac:dyDescent="0.2">
      <c r="A265" s="66"/>
      <c r="B265" s="67"/>
      <c r="C265" s="68"/>
      <c r="D265" s="69"/>
      <c r="E265" s="70"/>
      <c r="F265" s="70"/>
      <c r="G265" s="70"/>
      <c r="H265" s="70"/>
      <c r="I265" s="71"/>
    </row>
    <row r="266" spans="1:9" x14ac:dyDescent="0.2">
      <c r="A266" s="66"/>
      <c r="B266" s="67"/>
      <c r="C266" s="68"/>
      <c r="D266" s="69"/>
      <c r="E266" s="70"/>
      <c r="F266" s="70"/>
      <c r="G266" s="70"/>
      <c r="H266" s="70"/>
      <c r="I266" s="71"/>
    </row>
    <row r="267" spans="1:9" x14ac:dyDescent="0.2">
      <c r="A267" s="66"/>
      <c r="B267" s="67"/>
      <c r="C267" s="68"/>
      <c r="D267" s="69"/>
      <c r="E267" s="70"/>
      <c r="F267" s="70"/>
      <c r="G267" s="70"/>
      <c r="H267" s="70"/>
      <c r="I267" s="71"/>
    </row>
    <row r="268" spans="1:9" x14ac:dyDescent="0.2">
      <c r="A268" s="66"/>
      <c r="B268" s="67"/>
      <c r="C268" s="68"/>
      <c r="D268" s="69"/>
      <c r="E268" s="70"/>
      <c r="F268" s="70"/>
      <c r="G268" s="70"/>
      <c r="H268" s="70"/>
      <c r="I268" s="71"/>
    </row>
    <row r="269" spans="1:9" x14ac:dyDescent="0.2">
      <c r="A269" s="66"/>
      <c r="B269" s="67"/>
      <c r="C269" s="68"/>
      <c r="D269" s="69"/>
      <c r="E269" s="70"/>
      <c r="F269" s="70"/>
      <c r="G269" s="70"/>
      <c r="H269" s="70"/>
      <c r="I269" s="71"/>
    </row>
    <row r="270" spans="1:9" x14ac:dyDescent="0.2">
      <c r="A270" s="66"/>
      <c r="B270" s="67"/>
      <c r="C270" s="68"/>
      <c r="D270" s="69"/>
      <c r="E270" s="70"/>
      <c r="F270" s="70"/>
      <c r="G270" s="70"/>
      <c r="H270" s="70"/>
      <c r="I270" s="71"/>
    </row>
    <row r="271" spans="1:9" x14ac:dyDescent="0.2">
      <c r="A271" s="66"/>
      <c r="B271" s="67"/>
      <c r="C271" s="68"/>
      <c r="D271" s="69"/>
      <c r="E271" s="70"/>
      <c r="F271" s="70"/>
      <c r="G271" s="70"/>
      <c r="H271" s="70"/>
      <c r="I271" s="71"/>
    </row>
    <row r="272" spans="1:9" x14ac:dyDescent="0.2">
      <c r="A272" s="66"/>
      <c r="B272" s="67"/>
      <c r="C272" s="68"/>
      <c r="D272" s="69"/>
      <c r="E272" s="70"/>
      <c r="F272" s="70"/>
      <c r="G272" s="70"/>
      <c r="H272" s="70"/>
      <c r="I272" s="71"/>
    </row>
    <row r="273" spans="1:9" x14ac:dyDescent="0.2">
      <c r="A273" s="66"/>
      <c r="B273" s="67"/>
      <c r="C273" s="68"/>
      <c r="D273" s="69"/>
      <c r="E273" s="70"/>
      <c r="F273" s="70"/>
      <c r="G273" s="70"/>
      <c r="H273" s="70"/>
      <c r="I273" s="71"/>
    </row>
    <row r="274" spans="1:9" x14ac:dyDescent="0.2">
      <c r="A274" s="66"/>
      <c r="B274" s="67"/>
      <c r="C274" s="68"/>
      <c r="D274" s="69"/>
      <c r="E274" s="70"/>
      <c r="F274" s="70"/>
      <c r="G274" s="70"/>
      <c r="H274" s="70"/>
      <c r="I274" s="71"/>
    </row>
    <row r="275" spans="1:9" x14ac:dyDescent="0.2">
      <c r="A275" s="66"/>
      <c r="B275" s="67"/>
      <c r="C275" s="68"/>
      <c r="D275" s="69"/>
      <c r="E275" s="70"/>
      <c r="F275" s="70"/>
      <c r="G275" s="70"/>
      <c r="H275" s="70"/>
      <c r="I275" s="71"/>
    </row>
    <row r="276" spans="1:9" x14ac:dyDescent="0.2">
      <c r="A276" s="66"/>
      <c r="B276" s="67"/>
      <c r="C276" s="68"/>
      <c r="D276" s="69"/>
      <c r="E276" s="70"/>
      <c r="F276" s="70"/>
      <c r="G276" s="70"/>
      <c r="H276" s="70"/>
      <c r="I276" s="71"/>
    </row>
    <row r="277" spans="1:9" x14ac:dyDescent="0.2">
      <c r="A277" s="66"/>
      <c r="B277" s="67"/>
      <c r="C277" s="68"/>
      <c r="D277" s="69"/>
      <c r="E277" s="70"/>
      <c r="F277" s="70"/>
      <c r="G277" s="70"/>
      <c r="H277" s="70"/>
      <c r="I277" s="71"/>
    </row>
    <row r="278" spans="1:9" x14ac:dyDescent="0.2">
      <c r="A278" s="73"/>
      <c r="B278" s="74"/>
      <c r="C278" s="75"/>
      <c r="D278" s="69"/>
      <c r="E278" s="70"/>
      <c r="F278" s="70"/>
      <c r="G278" s="70"/>
      <c r="H278" s="70"/>
      <c r="I278" s="71"/>
    </row>
    <row r="279" spans="1:9" x14ac:dyDescent="0.2">
      <c r="A279" s="66"/>
      <c r="B279" s="67"/>
      <c r="C279" s="68"/>
      <c r="D279" s="69"/>
      <c r="E279" s="70"/>
      <c r="F279" s="70"/>
      <c r="G279" s="70"/>
      <c r="H279" s="70"/>
      <c r="I279" s="71"/>
    </row>
    <row r="280" spans="1:9" x14ac:dyDescent="0.2">
      <c r="A280" s="66"/>
      <c r="B280" s="67"/>
      <c r="C280" s="68"/>
      <c r="D280" s="69"/>
      <c r="E280" s="70"/>
      <c r="F280" s="70"/>
      <c r="G280" s="70"/>
      <c r="H280" s="70"/>
      <c r="I280" s="71"/>
    </row>
    <row r="281" spans="1:9" x14ac:dyDescent="0.2">
      <c r="A281" s="66"/>
      <c r="B281" s="79"/>
      <c r="C281" s="68"/>
      <c r="D281" s="80"/>
      <c r="E281" s="80"/>
      <c r="F281" s="80"/>
      <c r="G281" s="80"/>
      <c r="H281" s="70"/>
      <c r="I281" s="77"/>
    </row>
    <row r="282" spans="1:9" x14ac:dyDescent="0.2">
      <c r="A282" s="81"/>
      <c r="B282" s="46"/>
      <c r="C282" s="82"/>
      <c r="D282" s="77"/>
      <c r="E282" s="83"/>
      <c r="F282" s="83"/>
      <c r="G282" s="83"/>
      <c r="H282" s="83"/>
      <c r="I282" s="83"/>
    </row>
    <row r="283" spans="1:9" x14ac:dyDescent="0.2">
      <c r="A283" s="84"/>
      <c r="B283" s="85"/>
      <c r="C283" s="86"/>
      <c r="D283" s="87"/>
      <c r="E283" s="88"/>
      <c r="F283" s="88"/>
      <c r="G283" s="88"/>
      <c r="H283" s="88"/>
      <c r="I283" s="88"/>
    </row>
    <row r="284" spans="1:9" x14ac:dyDescent="0.2">
      <c r="A284" s="84"/>
      <c r="B284" s="85"/>
      <c r="C284" s="86"/>
      <c r="D284" s="87"/>
      <c r="E284" s="88"/>
      <c r="F284" s="88"/>
      <c r="G284" s="88"/>
      <c r="H284" s="88"/>
      <c r="I284" s="88"/>
    </row>
    <row r="285" spans="1:9" x14ac:dyDescent="0.2">
      <c r="A285" s="84"/>
      <c r="B285" s="85"/>
      <c r="C285" s="86"/>
      <c r="D285" s="87"/>
      <c r="E285" s="88"/>
      <c r="F285" s="88"/>
      <c r="G285" s="88"/>
      <c r="H285" s="88"/>
      <c r="I285" s="88"/>
    </row>
    <row r="286" spans="1:9" x14ac:dyDescent="0.2">
      <c r="A286" s="84"/>
      <c r="B286" s="85"/>
      <c r="C286" s="86"/>
      <c r="D286" s="87"/>
      <c r="E286" s="88"/>
      <c r="F286" s="88"/>
      <c r="G286" s="88"/>
      <c r="H286" s="88"/>
      <c r="I286" s="88"/>
    </row>
    <row r="287" spans="1:9" x14ac:dyDescent="0.2">
      <c r="A287" s="84"/>
      <c r="B287" s="85"/>
      <c r="C287" s="86"/>
      <c r="D287" s="87"/>
      <c r="E287" s="88"/>
      <c r="F287" s="88"/>
      <c r="G287" s="88"/>
      <c r="H287" s="88"/>
      <c r="I287" s="88"/>
    </row>
    <row r="288" spans="1:9" x14ac:dyDescent="0.2">
      <c r="A288" s="84"/>
      <c r="B288" s="85"/>
      <c r="C288" s="86"/>
      <c r="D288" s="87"/>
      <c r="E288" s="88"/>
      <c r="F288" s="88"/>
      <c r="G288" s="88"/>
      <c r="H288" s="88"/>
      <c r="I288" s="88"/>
    </row>
    <row r="289" spans="1:9" x14ac:dyDescent="0.2">
      <c r="A289" s="84"/>
      <c r="B289" s="85"/>
      <c r="C289" s="86"/>
      <c r="D289" s="87"/>
      <c r="E289" s="88"/>
      <c r="F289" s="88"/>
      <c r="G289" s="88"/>
      <c r="H289" s="88"/>
      <c r="I289" s="88"/>
    </row>
    <row r="290" spans="1:9" x14ac:dyDescent="0.2">
      <c r="A290" s="84"/>
      <c r="B290" s="85"/>
      <c r="C290" s="86"/>
      <c r="D290" s="87"/>
      <c r="E290" s="88"/>
      <c r="F290" s="88"/>
      <c r="G290" s="88"/>
      <c r="H290" s="88"/>
      <c r="I290" s="88"/>
    </row>
    <row r="291" spans="1:9" x14ac:dyDescent="0.2">
      <c r="A291" s="84"/>
      <c r="B291" s="85"/>
      <c r="C291" s="86"/>
      <c r="D291" s="87"/>
      <c r="E291" s="88"/>
      <c r="F291" s="88"/>
      <c r="G291" s="88"/>
      <c r="H291" s="88"/>
      <c r="I291" s="88"/>
    </row>
    <row r="292" spans="1:9" x14ac:dyDescent="0.2">
      <c r="A292" s="84"/>
      <c r="B292" s="85"/>
      <c r="C292" s="86"/>
      <c r="D292" s="87"/>
      <c r="E292" s="88"/>
      <c r="F292" s="88"/>
      <c r="G292" s="88"/>
      <c r="H292" s="88"/>
      <c r="I292" s="88"/>
    </row>
    <row r="293" spans="1:9" x14ac:dyDescent="0.2">
      <c r="A293" s="84"/>
      <c r="B293" s="85"/>
      <c r="C293" s="86"/>
      <c r="D293" s="87"/>
      <c r="E293" s="88"/>
      <c r="F293" s="88"/>
      <c r="G293" s="88"/>
      <c r="H293" s="88"/>
      <c r="I293" s="88"/>
    </row>
    <row r="294" spans="1:9" x14ac:dyDescent="0.2">
      <c r="A294" s="84"/>
      <c r="B294" s="85"/>
      <c r="C294" s="86"/>
      <c r="D294" s="87"/>
      <c r="E294" s="88"/>
      <c r="F294" s="88"/>
      <c r="G294" s="88"/>
      <c r="H294" s="88"/>
      <c r="I294" s="88"/>
    </row>
    <row r="295" spans="1:9" x14ac:dyDescent="0.2">
      <c r="A295" s="84"/>
      <c r="B295" s="85"/>
      <c r="C295" s="86"/>
      <c r="D295" s="87"/>
      <c r="E295" s="88"/>
      <c r="F295" s="88"/>
      <c r="G295" s="88"/>
      <c r="H295" s="88"/>
      <c r="I295" s="88"/>
    </row>
    <row r="296" spans="1:9" x14ac:dyDescent="0.2">
      <c r="A296" s="84"/>
      <c r="B296" s="85"/>
      <c r="C296" s="86"/>
      <c r="D296" s="87"/>
      <c r="E296" s="88"/>
      <c r="F296" s="88"/>
      <c r="G296" s="88"/>
      <c r="H296" s="88"/>
      <c r="I296" s="88"/>
    </row>
    <row r="297" spans="1:9" x14ac:dyDescent="0.2">
      <c r="A297" s="84"/>
      <c r="B297" s="85"/>
      <c r="C297" s="86"/>
      <c r="D297" s="87"/>
      <c r="E297" s="88"/>
      <c r="F297" s="88"/>
      <c r="G297" s="88"/>
      <c r="H297" s="88"/>
      <c r="I297" s="88"/>
    </row>
    <row r="298" spans="1:9" x14ac:dyDescent="0.2">
      <c r="A298" s="84"/>
      <c r="B298" s="85"/>
      <c r="C298" s="86"/>
      <c r="D298" s="87"/>
      <c r="E298" s="88"/>
      <c r="F298" s="88"/>
      <c r="G298" s="88"/>
      <c r="H298" s="88"/>
      <c r="I298" s="88"/>
    </row>
    <row r="299" spans="1:9" x14ac:dyDescent="0.2">
      <c r="A299" s="84"/>
      <c r="B299" s="85"/>
      <c r="C299" s="86"/>
      <c r="D299" s="87"/>
      <c r="E299" s="88"/>
      <c r="F299" s="88"/>
      <c r="G299" s="88"/>
      <c r="H299" s="88"/>
      <c r="I299" s="88"/>
    </row>
    <row r="300" spans="1:9" x14ac:dyDescent="0.2">
      <c r="A300" s="84"/>
      <c r="B300" s="85"/>
      <c r="C300" s="86"/>
      <c r="D300" s="87"/>
      <c r="E300" s="88"/>
      <c r="F300" s="88"/>
      <c r="G300" s="88"/>
      <c r="H300" s="88"/>
      <c r="I300" s="88"/>
    </row>
    <row r="301" spans="1:9" x14ac:dyDescent="0.2">
      <c r="A301" s="84"/>
      <c r="B301" s="85"/>
      <c r="C301" s="86"/>
      <c r="D301" s="87"/>
      <c r="E301" s="88"/>
      <c r="F301" s="88"/>
      <c r="G301" s="88"/>
      <c r="H301" s="88"/>
      <c r="I301" s="88"/>
    </row>
    <row r="302" spans="1:9" x14ac:dyDescent="0.2">
      <c r="A302" s="84"/>
      <c r="B302" s="85"/>
      <c r="C302" s="86"/>
      <c r="D302" s="87"/>
      <c r="E302" s="88"/>
      <c r="F302" s="88"/>
      <c r="G302" s="88"/>
      <c r="H302" s="88"/>
      <c r="I302" s="88"/>
    </row>
    <row r="303" spans="1:9" x14ac:dyDescent="0.2">
      <c r="A303" s="84"/>
      <c r="B303" s="85"/>
      <c r="C303" s="86"/>
      <c r="D303" s="87"/>
      <c r="E303" s="88"/>
      <c r="F303" s="88"/>
      <c r="G303" s="88"/>
      <c r="H303" s="88"/>
      <c r="I303" s="88"/>
    </row>
    <row r="304" spans="1:9" x14ac:dyDescent="0.2">
      <c r="A304" s="84"/>
      <c r="B304" s="85"/>
      <c r="C304" s="86"/>
      <c r="D304" s="87"/>
      <c r="E304" s="88"/>
      <c r="F304" s="88"/>
      <c r="G304" s="88"/>
      <c r="H304" s="88"/>
      <c r="I304" s="88"/>
    </row>
    <row r="305" spans="1:9" x14ac:dyDescent="0.2">
      <c r="A305" s="84"/>
      <c r="B305" s="85"/>
      <c r="C305" s="86"/>
      <c r="D305" s="87"/>
      <c r="E305" s="88"/>
      <c r="F305" s="88"/>
      <c r="G305" s="88"/>
      <c r="H305" s="88"/>
      <c r="I305" s="88"/>
    </row>
    <row r="306" spans="1:9" x14ac:dyDescent="0.2">
      <c r="A306" s="84"/>
      <c r="B306" s="85"/>
      <c r="C306" s="86"/>
      <c r="D306" s="87"/>
      <c r="E306" s="88"/>
      <c r="F306" s="88"/>
      <c r="G306" s="88"/>
      <c r="H306" s="88"/>
      <c r="I306" s="88"/>
    </row>
    <row r="307" spans="1:9" x14ac:dyDescent="0.2">
      <c r="A307" s="84"/>
      <c r="B307" s="85"/>
      <c r="C307" s="86"/>
      <c r="D307" s="87"/>
      <c r="E307" s="88"/>
      <c r="F307" s="88"/>
      <c r="G307" s="88"/>
      <c r="H307" s="88"/>
      <c r="I307" s="88"/>
    </row>
    <row r="308" spans="1:9" x14ac:dyDescent="0.2">
      <c r="A308" s="84"/>
      <c r="B308" s="85"/>
      <c r="C308" s="86"/>
      <c r="D308" s="87"/>
      <c r="E308" s="88"/>
      <c r="F308" s="88"/>
      <c r="G308" s="88"/>
      <c r="H308" s="88"/>
      <c r="I308" s="88"/>
    </row>
    <row r="309" spans="1:9" x14ac:dyDescent="0.2">
      <c r="A309" s="84"/>
      <c r="B309" s="85"/>
      <c r="C309" s="86"/>
      <c r="D309" s="87"/>
      <c r="E309" s="88"/>
      <c r="F309" s="88"/>
      <c r="G309" s="88"/>
      <c r="H309" s="88"/>
      <c r="I309" s="88"/>
    </row>
    <row r="310" spans="1:9" x14ac:dyDescent="0.2">
      <c r="A310" s="84"/>
      <c r="B310" s="85"/>
      <c r="C310" s="86"/>
      <c r="D310" s="87"/>
      <c r="E310" s="88"/>
      <c r="F310" s="88"/>
      <c r="G310" s="88"/>
      <c r="H310" s="88"/>
      <c r="I310" s="88"/>
    </row>
    <row r="311" spans="1:9" x14ac:dyDescent="0.2">
      <c r="A311" s="84"/>
      <c r="B311" s="85"/>
      <c r="C311" s="86"/>
      <c r="D311" s="87"/>
      <c r="E311" s="88"/>
      <c r="F311" s="88"/>
      <c r="G311" s="88"/>
      <c r="H311" s="88"/>
      <c r="I311" s="88"/>
    </row>
    <row r="312" spans="1:9" x14ac:dyDescent="0.2">
      <c r="A312" s="84"/>
      <c r="B312" s="85"/>
      <c r="C312" s="86"/>
      <c r="D312" s="87"/>
      <c r="E312" s="88"/>
      <c r="F312" s="88"/>
      <c r="G312" s="88"/>
      <c r="H312" s="88"/>
      <c r="I312" s="88"/>
    </row>
    <row r="313" spans="1:9" x14ac:dyDescent="0.2">
      <c r="A313" s="84"/>
      <c r="B313" s="85"/>
      <c r="C313" s="86"/>
      <c r="D313" s="87"/>
      <c r="E313" s="88"/>
      <c r="F313" s="88"/>
      <c r="G313" s="88"/>
      <c r="H313" s="88"/>
      <c r="I313" s="88"/>
    </row>
    <row r="314" spans="1:9" x14ac:dyDescent="0.2">
      <c r="A314" s="84"/>
      <c r="B314" s="85"/>
      <c r="C314" s="86"/>
      <c r="D314" s="87"/>
      <c r="E314" s="88"/>
      <c r="F314" s="88"/>
      <c r="G314" s="88"/>
      <c r="H314" s="88"/>
      <c r="I314" s="88"/>
    </row>
    <row r="315" spans="1:9" x14ac:dyDescent="0.2">
      <c r="A315" s="84"/>
      <c r="B315" s="85"/>
      <c r="C315" s="86"/>
      <c r="D315" s="87"/>
      <c r="E315" s="88"/>
      <c r="F315" s="88"/>
      <c r="G315" s="88"/>
      <c r="H315" s="88"/>
      <c r="I315" s="88"/>
    </row>
    <row r="316" spans="1:9" x14ac:dyDescent="0.2">
      <c r="A316" s="84"/>
      <c r="B316" s="85"/>
      <c r="C316" s="86"/>
      <c r="D316" s="87"/>
      <c r="E316" s="88"/>
      <c r="F316" s="88"/>
      <c r="G316" s="88"/>
      <c r="H316" s="88"/>
      <c r="I316" s="88"/>
    </row>
    <row r="317" spans="1:9" x14ac:dyDescent="0.2">
      <c r="A317" s="84"/>
      <c r="B317" s="85"/>
      <c r="C317" s="86"/>
      <c r="D317" s="87"/>
      <c r="E317" s="88"/>
      <c r="F317" s="88"/>
      <c r="G317" s="88"/>
      <c r="H317" s="88"/>
      <c r="I317" s="88"/>
    </row>
    <row r="318" spans="1:9" x14ac:dyDescent="0.2">
      <c r="A318" s="84"/>
      <c r="B318" s="85"/>
      <c r="C318" s="86"/>
      <c r="D318" s="87"/>
      <c r="E318" s="88"/>
      <c r="F318" s="88"/>
      <c r="G318" s="88"/>
      <c r="H318" s="88"/>
      <c r="I318" s="88"/>
    </row>
  </sheetData>
  <mergeCells count="9">
    <mergeCell ref="D117:F117"/>
    <mergeCell ref="D116:F116"/>
    <mergeCell ref="A1:I1"/>
    <mergeCell ref="A2:B2"/>
    <mergeCell ref="A3:B3"/>
    <mergeCell ref="A4:A5"/>
    <mergeCell ref="B4:B5"/>
    <mergeCell ref="C4:I4"/>
    <mergeCell ref="D5:H5"/>
  </mergeCells>
  <pageMargins left="0.98425196850393704" right="0.59055118110236227" top="1.5748031496062993" bottom="1.1811023622047245" header="0.98425196850393704" footer="0.59055118110236227"/>
  <pageSetup paperSize="9" orientation="landscape" r:id="rId1"/>
  <headerFooter>
    <oddHeader>&amp;C&amp;G</oddHeader>
    <oddFooter>&amp;C&amp;"Trebuchet MS,Itálico"&amp;9Rua Pedro Caetano Domingues, nº 33, Quincas Machado, Guaçuí – ES / CNPJ: 21.861.470/0001-10 
       contato.vmengenharia@gmail.com / (28) 9 9963 2562 / (28) 9 9966 6524&amp;R
&amp;"Trebuchet MS,Itálico"&amp;9&amp;P de &amp;N</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27"/>
  <sheetViews>
    <sheetView view="pageBreakPreview" zoomScale="120" zoomScaleNormal="85" zoomScaleSheetLayoutView="120" workbookViewId="0">
      <selection activeCell="F24" sqref="F24"/>
    </sheetView>
  </sheetViews>
  <sheetFormatPr defaultColWidth="10.6640625" defaultRowHeight="15" customHeight="1" x14ac:dyDescent="0.25"/>
  <cols>
    <col min="1" max="1" width="6.44140625" customWidth="1"/>
    <col min="2" max="2" width="20.5546875" customWidth="1"/>
    <col min="3" max="3" width="13.88671875" customWidth="1"/>
    <col min="4" max="8" width="13.6640625" customWidth="1"/>
    <col min="9" max="24" width="10.6640625" style="10"/>
    <col min="25" max="16384" width="10.6640625" style="9"/>
  </cols>
  <sheetData>
    <row r="1" spans="1:24" ht="20.25" customHeight="1" x14ac:dyDescent="0.25">
      <c r="A1" s="315" t="s">
        <v>23</v>
      </c>
      <c r="B1" s="315"/>
      <c r="C1" s="315"/>
      <c r="D1" s="315"/>
      <c r="E1" s="315"/>
      <c r="F1" s="315"/>
      <c r="G1" s="315"/>
      <c r="H1" s="315"/>
    </row>
    <row r="2" spans="1:24" ht="15" customHeight="1" x14ac:dyDescent="0.25">
      <c r="A2" s="25" t="s">
        <v>184</v>
      </c>
      <c r="B2" s="25"/>
      <c r="C2" s="25"/>
      <c r="D2" s="25"/>
      <c r="E2" s="140"/>
      <c r="F2" s="140"/>
      <c r="G2" s="140"/>
      <c r="H2" s="140"/>
    </row>
    <row r="3" spans="1:24" ht="15" customHeight="1" x14ac:dyDescent="0.25">
      <c r="A3" s="25" t="s">
        <v>185</v>
      </c>
      <c r="B3" s="25"/>
      <c r="C3" s="25"/>
      <c r="D3" s="26"/>
      <c r="E3" s="26"/>
      <c r="F3" s="26"/>
      <c r="G3" s="26"/>
      <c r="H3" s="26"/>
    </row>
    <row r="4" spans="1:24" ht="13.2" x14ac:dyDescent="0.25">
      <c r="A4" s="333" t="s">
        <v>0</v>
      </c>
      <c r="B4" s="333" t="s">
        <v>7</v>
      </c>
      <c r="C4" s="333"/>
      <c r="D4" s="334" t="s">
        <v>16</v>
      </c>
      <c r="E4" s="333" t="s">
        <v>8</v>
      </c>
      <c r="F4" s="333"/>
      <c r="G4" s="333"/>
      <c r="H4" s="333"/>
    </row>
    <row r="5" spans="1:24" s="6" customFormat="1" ht="13.2" x14ac:dyDescent="0.25">
      <c r="A5" s="333"/>
      <c r="B5" s="333"/>
      <c r="C5" s="333"/>
      <c r="D5" s="334"/>
      <c r="E5" s="31">
        <v>1</v>
      </c>
      <c r="F5" s="31">
        <v>2</v>
      </c>
      <c r="G5" s="31">
        <v>3</v>
      </c>
      <c r="H5" s="31">
        <v>4</v>
      </c>
      <c r="I5" s="11"/>
      <c r="J5" s="11"/>
      <c r="K5" s="11"/>
      <c r="L5" s="11"/>
      <c r="M5" s="11"/>
      <c r="N5" s="11"/>
      <c r="O5" s="11"/>
      <c r="P5" s="11"/>
      <c r="Q5" s="11"/>
      <c r="R5" s="11"/>
      <c r="S5" s="11"/>
      <c r="T5" s="11"/>
      <c r="U5" s="11"/>
      <c r="V5" s="11"/>
      <c r="W5" s="11"/>
      <c r="X5" s="11"/>
    </row>
    <row r="6" spans="1:24" ht="13.2" x14ac:dyDescent="0.25">
      <c r="A6" s="327" t="s">
        <v>42</v>
      </c>
      <c r="B6" s="330" t="str">
        <f>'Planilha Orçamentária'!D6</f>
        <v>ADMINISTRAÇÃO LOCAL</v>
      </c>
      <c r="C6" s="32" t="s">
        <v>9</v>
      </c>
      <c r="D6" s="332">
        <f>'Planilha Orçamentária'!H8</f>
        <v>6799.71</v>
      </c>
      <c r="E6" s="37">
        <v>0.22</v>
      </c>
      <c r="F6" s="37">
        <v>0.3</v>
      </c>
      <c r="G6" s="37">
        <v>0.28000000000000003</v>
      </c>
      <c r="H6" s="37">
        <v>0.2</v>
      </c>
      <c r="I6" s="10">
        <f t="shared" ref="I6:I19" si="0">SUM(E6:H6)</f>
        <v>1</v>
      </c>
    </row>
    <row r="7" spans="1:24" ht="13.2" x14ac:dyDescent="0.25">
      <c r="A7" s="328"/>
      <c r="B7" s="331"/>
      <c r="C7" s="33" t="s">
        <v>10</v>
      </c>
      <c r="D7" s="332"/>
      <c r="E7" s="36">
        <f>ROUND(D6*E6,2)</f>
        <v>1495.94</v>
      </c>
      <c r="F7" s="36">
        <f>ROUND(D6*F6,2)</f>
        <v>2039.91</v>
      </c>
      <c r="G7" s="36">
        <f>ROUND(D6*G6,2)</f>
        <v>1903.92</v>
      </c>
      <c r="H7" s="36">
        <f>ROUND(D6*H6,2)</f>
        <v>1359.94</v>
      </c>
      <c r="I7" s="10">
        <f t="shared" si="0"/>
        <v>6799.71</v>
      </c>
    </row>
    <row r="8" spans="1:24" ht="13.2" x14ac:dyDescent="0.25">
      <c r="A8" s="327" t="s">
        <v>44</v>
      </c>
      <c r="B8" s="330" t="str">
        <f>'Planilha Orçamentária'!D9</f>
        <v>SERVIÇOS PRELIMINARES</v>
      </c>
      <c r="C8" s="32" t="s">
        <v>9</v>
      </c>
      <c r="D8" s="332">
        <f>'Planilha Orçamentária'!H14</f>
        <v>1146.6600000000001</v>
      </c>
      <c r="E8" s="37">
        <v>1</v>
      </c>
      <c r="F8" s="38"/>
      <c r="G8" s="38"/>
      <c r="H8" s="38"/>
      <c r="I8" s="10">
        <f t="shared" si="0"/>
        <v>1</v>
      </c>
    </row>
    <row r="9" spans="1:24" ht="13.2" x14ac:dyDescent="0.25">
      <c r="A9" s="328"/>
      <c r="B9" s="331"/>
      <c r="C9" s="33" t="s">
        <v>10</v>
      </c>
      <c r="D9" s="332"/>
      <c r="E9" s="36">
        <f>E8*D8</f>
        <v>1146.6600000000001</v>
      </c>
      <c r="F9" s="36"/>
      <c r="G9" s="36"/>
      <c r="H9" s="36"/>
      <c r="I9" s="10">
        <f t="shared" si="0"/>
        <v>1146.6600000000001</v>
      </c>
    </row>
    <row r="10" spans="1:24" ht="13.2" x14ac:dyDescent="0.25">
      <c r="A10" s="327" t="s">
        <v>46</v>
      </c>
      <c r="B10" s="330" t="str">
        <f>'Planilha Orçamentária'!D15</f>
        <v>CANTEIRO DE OBRAS</v>
      </c>
      <c r="C10" s="32" t="s">
        <v>9</v>
      </c>
      <c r="D10" s="332">
        <f>'Planilha Orçamentária'!H22</f>
        <v>11212.12</v>
      </c>
      <c r="E10" s="37">
        <v>1</v>
      </c>
      <c r="F10" s="38"/>
      <c r="G10" s="38"/>
      <c r="H10" s="38"/>
      <c r="I10" s="10">
        <f t="shared" si="0"/>
        <v>1</v>
      </c>
    </row>
    <row r="11" spans="1:24" ht="13.2" x14ac:dyDescent="0.25">
      <c r="A11" s="328"/>
      <c r="B11" s="331"/>
      <c r="C11" s="33" t="s">
        <v>10</v>
      </c>
      <c r="D11" s="332"/>
      <c r="E11" s="36">
        <f>ROUND(D10*E10,2)</f>
        <v>11212.12</v>
      </c>
      <c r="F11" s="36"/>
      <c r="G11" s="36"/>
      <c r="H11" s="36"/>
      <c r="I11" s="10">
        <f t="shared" si="0"/>
        <v>11212.12</v>
      </c>
    </row>
    <row r="12" spans="1:24" ht="13.2" x14ac:dyDescent="0.25">
      <c r="A12" s="327" t="s">
        <v>53</v>
      </c>
      <c r="B12" s="330" t="str">
        <f>'Planilha Orçamentária'!D23</f>
        <v>ESTRUTURA DA PASSARELA</v>
      </c>
      <c r="C12" s="32" t="s">
        <v>9</v>
      </c>
      <c r="D12" s="332">
        <f>'Planilha Orçamentária'!H28</f>
        <v>59125.85</v>
      </c>
      <c r="E12" s="37">
        <v>0.5</v>
      </c>
      <c r="F12" s="38">
        <v>0.5</v>
      </c>
      <c r="G12" s="38"/>
      <c r="H12" s="38"/>
      <c r="I12" s="10">
        <f t="shared" si="0"/>
        <v>1</v>
      </c>
    </row>
    <row r="13" spans="1:24" ht="13.2" x14ac:dyDescent="0.25">
      <c r="A13" s="328"/>
      <c r="B13" s="331"/>
      <c r="C13" s="33" t="s">
        <v>10</v>
      </c>
      <c r="D13" s="332"/>
      <c r="E13" s="36">
        <f>E12*D12-0.01</f>
        <v>29562.92</v>
      </c>
      <c r="F13" s="36">
        <f>F12*D12</f>
        <v>29562.93</v>
      </c>
      <c r="G13" s="36"/>
      <c r="H13" s="36"/>
      <c r="I13" s="10">
        <f t="shared" si="0"/>
        <v>59125.85</v>
      </c>
    </row>
    <row r="14" spans="1:24" ht="13.2" x14ac:dyDescent="0.25">
      <c r="A14" s="327" t="s">
        <v>56</v>
      </c>
      <c r="B14" s="330" t="str">
        <f>'Planilha Orçamentária'!D29</f>
        <v>COBERTURA DA PASSARELA</v>
      </c>
      <c r="C14" s="32" t="s">
        <v>9</v>
      </c>
      <c r="D14" s="332">
        <f>'Planilha Orçamentária'!H36</f>
        <v>55599.66</v>
      </c>
      <c r="E14" s="37"/>
      <c r="F14" s="38">
        <v>0.5</v>
      </c>
      <c r="G14" s="38">
        <v>0.5</v>
      </c>
      <c r="H14" s="38"/>
      <c r="I14" s="10">
        <f t="shared" si="0"/>
        <v>1</v>
      </c>
    </row>
    <row r="15" spans="1:24" ht="13.2" x14ac:dyDescent="0.25">
      <c r="A15" s="328"/>
      <c r="B15" s="331"/>
      <c r="C15" s="33" t="s">
        <v>10</v>
      </c>
      <c r="D15" s="332"/>
      <c r="E15" s="36"/>
      <c r="F15" s="36">
        <f>F14*$D$14</f>
        <v>27799.83</v>
      </c>
      <c r="G15" s="36">
        <f>G14*$D$14</f>
        <v>27799.83</v>
      </c>
      <c r="H15" s="36"/>
      <c r="I15" s="10">
        <f t="shared" si="0"/>
        <v>55599.66</v>
      </c>
    </row>
    <row r="16" spans="1:24" ht="13.2" x14ac:dyDescent="0.25">
      <c r="A16" s="327" t="s">
        <v>40</v>
      </c>
      <c r="B16" s="330" t="str">
        <f>'Planilha Orçamentária'!D37</f>
        <v>INTALAÇÕES ELÉTRICAS</v>
      </c>
      <c r="C16" s="32" t="s">
        <v>9</v>
      </c>
      <c r="D16" s="332">
        <f>'Planilha Orçamentária'!H47</f>
        <v>1651.92</v>
      </c>
      <c r="E16" s="37"/>
      <c r="F16" s="37">
        <v>0.2</v>
      </c>
      <c r="G16" s="37">
        <v>0.2</v>
      </c>
      <c r="H16" s="37">
        <v>0.6</v>
      </c>
      <c r="I16" s="10">
        <f t="shared" si="0"/>
        <v>1</v>
      </c>
    </row>
    <row r="17" spans="1:9" ht="13.2" x14ac:dyDescent="0.25">
      <c r="A17" s="328"/>
      <c r="B17" s="331"/>
      <c r="C17" s="33" t="s">
        <v>10</v>
      </c>
      <c r="D17" s="332"/>
      <c r="E17" s="36"/>
      <c r="F17" s="36">
        <f>F16*D16</f>
        <v>330.38</v>
      </c>
      <c r="G17" s="36">
        <f>G16*D16</f>
        <v>330.38</v>
      </c>
      <c r="H17" s="36">
        <f>H16*D16+0.01</f>
        <v>991.16</v>
      </c>
      <c r="I17" s="10">
        <f t="shared" si="0"/>
        <v>1651.92</v>
      </c>
    </row>
    <row r="18" spans="1:9" ht="13.2" x14ac:dyDescent="0.25">
      <c r="A18" s="327" t="str">
        <f>'Planilha Orçamentária'!C49</f>
        <v>7.0</v>
      </c>
      <c r="B18" s="330" t="str">
        <f>'Planilha Orçamentária'!D49</f>
        <v>SERVIÇOS COMPLEMENTARES</v>
      </c>
      <c r="C18" s="32" t="s">
        <v>9</v>
      </c>
      <c r="D18" s="332">
        <f>'Planilha Orçamentária'!H58</f>
        <v>59261.69</v>
      </c>
      <c r="E18" s="37"/>
      <c r="F18" s="37"/>
      <c r="G18" s="37">
        <v>0.4</v>
      </c>
      <c r="H18" s="37">
        <v>0.6</v>
      </c>
      <c r="I18" s="10">
        <f t="shared" si="0"/>
        <v>1</v>
      </c>
    </row>
    <row r="19" spans="1:9" ht="13.2" x14ac:dyDescent="0.25">
      <c r="A19" s="328"/>
      <c r="B19" s="331"/>
      <c r="C19" s="33" t="s">
        <v>10</v>
      </c>
      <c r="D19" s="332"/>
      <c r="E19" s="36"/>
      <c r="F19" s="36"/>
      <c r="G19" s="36">
        <f>G18*D18</f>
        <v>23704.68</v>
      </c>
      <c r="H19" s="36">
        <f>H18*D18</f>
        <v>35557.01</v>
      </c>
      <c r="I19" s="10">
        <f t="shared" si="0"/>
        <v>59261.69</v>
      </c>
    </row>
    <row r="20" spans="1:9" ht="13.2" x14ac:dyDescent="0.25">
      <c r="A20" s="326" t="s">
        <v>11</v>
      </c>
      <c r="B20" s="326"/>
      <c r="C20" s="326"/>
      <c r="D20" s="329">
        <f>SUM(D6:D19)</f>
        <v>194797.61</v>
      </c>
      <c r="E20" s="34">
        <f>ROUND(E22/D20,4)</f>
        <v>0.22289999999999999</v>
      </c>
      <c r="F20" s="34">
        <f>ROUND(F22/D20,4)</f>
        <v>0.30659999999999998</v>
      </c>
      <c r="G20" s="34">
        <f>ROUND(G22/D20,4)</f>
        <v>0.27589999999999998</v>
      </c>
      <c r="H20" s="34">
        <f>ROUND(H22/D20,4)</f>
        <v>0.1946</v>
      </c>
    </row>
    <row r="21" spans="1:9" ht="13.2" x14ac:dyDescent="0.25">
      <c r="A21" s="326" t="s">
        <v>12</v>
      </c>
      <c r="B21" s="326"/>
      <c r="C21" s="326"/>
      <c r="D21" s="329"/>
      <c r="E21" s="34">
        <f>E20</f>
        <v>0.22289999999999999</v>
      </c>
      <c r="F21" s="39">
        <f>F20+E21</f>
        <v>0.52949999999999997</v>
      </c>
      <c r="G21" s="39">
        <f t="shared" ref="G21:H21" si="1">G20+F21</f>
        <v>0.8054</v>
      </c>
      <c r="H21" s="39">
        <f t="shared" si="1"/>
        <v>1</v>
      </c>
    </row>
    <row r="22" spans="1:9" ht="13.2" x14ac:dyDescent="0.25">
      <c r="A22" s="326" t="s">
        <v>13</v>
      </c>
      <c r="B22" s="326"/>
      <c r="C22" s="326"/>
      <c r="D22" s="329"/>
      <c r="E22" s="35">
        <f>E7+E9+E11+E13+E15+E17+E19</f>
        <v>43417.64</v>
      </c>
      <c r="F22" s="35">
        <f t="shared" ref="F22:G22" si="2">F7+F9+F11+F13+F15+F17+F19</f>
        <v>59733.05</v>
      </c>
      <c r="G22" s="35">
        <f t="shared" si="2"/>
        <v>53738.81</v>
      </c>
      <c r="H22" s="35">
        <f>H7+H9+H11+H13+H15+H17+H19</f>
        <v>37908.11</v>
      </c>
    </row>
    <row r="23" spans="1:9" ht="13.2" x14ac:dyDescent="0.25">
      <c r="A23" s="326" t="s">
        <v>14</v>
      </c>
      <c r="B23" s="326"/>
      <c r="C23" s="326"/>
      <c r="D23" s="329"/>
      <c r="E23" s="35">
        <f>E22</f>
        <v>43417.64</v>
      </c>
      <c r="F23" s="35">
        <f>ROUND(F22+E23,2)</f>
        <v>103150.69</v>
      </c>
      <c r="G23" s="35">
        <f t="shared" ref="G23:H23" si="3">ROUND(G22+F23,2)</f>
        <v>156889.5</v>
      </c>
      <c r="H23" s="35">
        <f t="shared" si="3"/>
        <v>194797.61</v>
      </c>
    </row>
    <row r="24" spans="1:9" ht="24.9" customHeight="1" x14ac:dyDescent="0.25">
      <c r="A24" s="17"/>
      <c r="B24" s="17"/>
      <c r="C24" s="17"/>
      <c r="D24" s="17"/>
      <c r="E24" s="17"/>
      <c r="F24" s="17"/>
      <c r="G24" s="17"/>
      <c r="H24" s="17"/>
    </row>
    <row r="25" spans="1:9" ht="26.4" customHeight="1" x14ac:dyDescent="0.25">
      <c r="A25" s="17"/>
      <c r="B25" s="17"/>
      <c r="C25" s="17"/>
      <c r="D25" s="17"/>
      <c r="E25" s="115"/>
      <c r="F25" s="115"/>
      <c r="G25" s="115"/>
      <c r="H25" s="17"/>
    </row>
    <row r="26" spans="1:9" ht="13.2" customHeight="1" x14ac:dyDescent="0.25">
      <c r="A26" s="17"/>
      <c r="B26" s="17"/>
      <c r="C26" s="41"/>
      <c r="D26" s="41"/>
      <c r="E26" s="324" t="s">
        <v>182</v>
      </c>
      <c r="F26" s="324"/>
      <c r="G26" s="324"/>
      <c r="H26" s="41"/>
    </row>
    <row r="27" spans="1:9" ht="12.6" customHeight="1" x14ac:dyDescent="0.25">
      <c r="A27" s="17"/>
      <c r="B27" s="17"/>
      <c r="C27" s="40"/>
      <c r="D27" s="40"/>
      <c r="E27" s="325" t="s">
        <v>183</v>
      </c>
      <c r="F27" s="325"/>
      <c r="G27" s="325"/>
      <c r="H27" s="40"/>
    </row>
  </sheetData>
  <mergeCells count="33">
    <mergeCell ref="D16:D17"/>
    <mergeCell ref="D14:D15"/>
    <mergeCell ref="A6:A7"/>
    <mergeCell ref="B6:B7"/>
    <mergeCell ref="D12:D13"/>
    <mergeCell ref="A10:A11"/>
    <mergeCell ref="B10:B11"/>
    <mergeCell ref="D10:D11"/>
    <mergeCell ref="A1:H1"/>
    <mergeCell ref="E4:H4"/>
    <mergeCell ref="A8:A9"/>
    <mergeCell ref="D8:D9"/>
    <mergeCell ref="D6:D7"/>
    <mergeCell ref="A4:A5"/>
    <mergeCell ref="B4:C5"/>
    <mergeCell ref="D4:D5"/>
    <mergeCell ref="B8:B9"/>
    <mergeCell ref="E26:G26"/>
    <mergeCell ref="E27:G27"/>
    <mergeCell ref="A22:C22"/>
    <mergeCell ref="A23:C23"/>
    <mergeCell ref="A12:A13"/>
    <mergeCell ref="D20:D23"/>
    <mergeCell ref="A21:C21"/>
    <mergeCell ref="A20:C20"/>
    <mergeCell ref="A18:A19"/>
    <mergeCell ref="B18:B19"/>
    <mergeCell ref="D18:D19"/>
    <mergeCell ref="A16:A17"/>
    <mergeCell ref="A14:A15"/>
    <mergeCell ref="B12:B13"/>
    <mergeCell ref="B14:B15"/>
    <mergeCell ref="B16:B17"/>
  </mergeCells>
  <conditionalFormatting sqref="E20:E23 F20:H20 F22:H23">
    <cfRule type="cellIs" dxfId="207" priority="5" operator="equal">
      <formula>0</formula>
    </cfRule>
  </conditionalFormatting>
  <printOptions horizontalCentered="1"/>
  <pageMargins left="0.98425196850393704" right="0.59055118110236227" top="1.5748031496062993" bottom="1.1811023622047245" header="0.98425196850393704" footer="0.59055118110236227"/>
  <pageSetup paperSize="9" orientation="landscape" r:id="rId1"/>
  <headerFooter scaleWithDoc="0" alignWithMargins="0">
    <oddHeader>&amp;C&amp;"MV Boli,Normal Negrito"&amp;20&amp;G</oddHeader>
    <oddFooter>&amp;C&amp;"Trebuchet MS,Itálico"&amp;9Rua Pedro Caetano Domingues, nº 33, Quincas Machado, Guaçuí – ES / CNPJ: 21.861.470/0001-10 
       contato.vmengenharia@gmail.com / (28) 9 9963 2562 / (28) 9 9966 6524&amp;R&amp;"Trebuchet MS,Itálico"&amp;9&amp;P de &amp;N</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740510-06E0-4BD1-9057-33C1C148CA2C}">
  <dimension ref="A1:K159"/>
  <sheetViews>
    <sheetView view="pageBreakPreview" zoomScale="140" zoomScaleNormal="100" zoomScaleSheetLayoutView="140" workbookViewId="0">
      <selection activeCell="I126" sqref="I126"/>
    </sheetView>
  </sheetViews>
  <sheetFormatPr defaultColWidth="9.109375" defaultRowHeight="13.8" x14ac:dyDescent="0.25"/>
  <cols>
    <col min="1" max="1" width="8.109375" style="148" customWidth="1"/>
    <col min="2" max="2" width="42.6640625" style="147" customWidth="1"/>
    <col min="3" max="3" width="6.88671875" style="148" customWidth="1"/>
    <col min="4" max="4" width="9.33203125" style="148" customWidth="1"/>
    <col min="5" max="5" width="10.33203125" style="148" customWidth="1"/>
    <col min="6" max="6" width="9.44140625" style="148" customWidth="1"/>
    <col min="7" max="7" width="9.109375" style="139"/>
    <col min="8" max="8" width="11.5546875" style="139" bestFit="1" customWidth="1"/>
    <col min="9" max="9" width="12.109375" style="139" customWidth="1"/>
    <col min="10" max="10" width="12" style="139" bestFit="1" customWidth="1"/>
    <col min="11" max="11" width="11.5546875" style="139" bestFit="1" customWidth="1"/>
    <col min="12" max="16384" width="9.109375" style="139"/>
  </cols>
  <sheetData>
    <row r="1" spans="1:10" ht="24.75" customHeight="1" x14ac:dyDescent="0.25">
      <c r="A1" s="335" t="s">
        <v>202</v>
      </c>
      <c r="B1" s="335"/>
      <c r="C1" s="335"/>
      <c r="D1" s="335"/>
      <c r="E1" s="335"/>
      <c r="F1" s="335"/>
    </row>
    <row r="2" spans="1:10" ht="28.5" customHeight="1" x14ac:dyDescent="0.25">
      <c r="A2" s="142" t="s">
        <v>152</v>
      </c>
      <c r="B2" s="143" t="s">
        <v>215</v>
      </c>
      <c r="C2" s="142" t="s">
        <v>77</v>
      </c>
      <c r="D2" s="142" t="s">
        <v>164</v>
      </c>
      <c r="E2" s="142" t="s">
        <v>150</v>
      </c>
      <c r="F2" s="142" t="s">
        <v>151</v>
      </c>
    </row>
    <row r="3" spans="1:10" x14ac:dyDescent="0.25">
      <c r="A3" s="231">
        <v>88315</v>
      </c>
      <c r="B3" s="290" t="s">
        <v>153</v>
      </c>
      <c r="C3" s="231" t="s">
        <v>71</v>
      </c>
      <c r="D3" s="291">
        <v>6.15</v>
      </c>
      <c r="E3" s="291">
        <v>18.98</v>
      </c>
      <c r="F3" s="292">
        <f t="shared" ref="F3:F9" si="0">E3*D3</f>
        <v>116.73</v>
      </c>
    </row>
    <row r="4" spans="1:10" x14ac:dyDescent="0.25">
      <c r="A4" s="231">
        <v>88316</v>
      </c>
      <c r="B4" s="290" t="s">
        <v>163</v>
      </c>
      <c r="C4" s="231" t="s">
        <v>71</v>
      </c>
      <c r="D4" s="291">
        <v>6.15</v>
      </c>
      <c r="E4" s="291">
        <v>13.66</v>
      </c>
      <c r="F4" s="292">
        <f t="shared" si="0"/>
        <v>84.01</v>
      </c>
    </row>
    <row r="5" spans="1:10" ht="21.6" x14ac:dyDescent="0.25">
      <c r="A5" s="231">
        <v>98746</v>
      </c>
      <c r="B5" s="290" t="s">
        <v>214</v>
      </c>
      <c r="C5" s="231" t="s">
        <v>87</v>
      </c>
      <c r="D5" s="293">
        <f>SUM(E16:E21)/1000</f>
        <v>16.82</v>
      </c>
      <c r="E5" s="291">
        <v>55.37</v>
      </c>
      <c r="F5" s="292">
        <f t="shared" si="0"/>
        <v>931.32</v>
      </c>
      <c r="H5" s="239"/>
    </row>
    <row r="6" spans="1:10" ht="43.2" x14ac:dyDescent="0.25">
      <c r="A6" s="231" t="s">
        <v>74</v>
      </c>
      <c r="B6" s="290" t="s">
        <v>341</v>
      </c>
      <c r="C6" s="231" t="s">
        <v>155</v>
      </c>
      <c r="D6" s="291">
        <f>E22+E23</f>
        <v>149.52000000000001</v>
      </c>
      <c r="E6" s="291">
        <f>460/61.4</f>
        <v>7.49</v>
      </c>
      <c r="F6" s="292">
        <f t="shared" ref="F6" si="1">E6*D6</f>
        <v>1119.9000000000001</v>
      </c>
      <c r="H6" s="239"/>
      <c r="J6" s="240"/>
    </row>
    <row r="7" spans="1:10" ht="30" customHeight="1" x14ac:dyDescent="0.25">
      <c r="A7" s="231">
        <v>1334</v>
      </c>
      <c r="B7" s="290" t="s">
        <v>220</v>
      </c>
      <c r="C7" s="231" t="s">
        <v>155</v>
      </c>
      <c r="D7" s="291">
        <f>E24</f>
        <v>19.420000000000002</v>
      </c>
      <c r="E7" s="291">
        <v>6.13</v>
      </c>
      <c r="F7" s="292">
        <f t="shared" si="0"/>
        <v>119.04</v>
      </c>
      <c r="H7" s="239"/>
    </row>
    <row r="8" spans="1:10" ht="21.6" x14ac:dyDescent="0.25">
      <c r="A8" s="231">
        <v>1330</v>
      </c>
      <c r="B8" s="290" t="s">
        <v>221</v>
      </c>
      <c r="C8" s="231" t="s">
        <v>155</v>
      </c>
      <c r="D8" s="293">
        <f>E25</f>
        <v>1.35</v>
      </c>
      <c r="E8" s="291">
        <v>5.33</v>
      </c>
      <c r="F8" s="292">
        <f t="shared" si="0"/>
        <v>7.2</v>
      </c>
      <c r="H8" s="239"/>
    </row>
    <row r="9" spans="1:10" x14ac:dyDescent="0.25">
      <c r="A9" s="231" t="s">
        <v>74</v>
      </c>
      <c r="B9" s="290" t="s">
        <v>348</v>
      </c>
      <c r="C9" s="231" t="s">
        <v>77</v>
      </c>
      <c r="D9" s="291">
        <f>E26</f>
        <v>6</v>
      </c>
      <c r="E9" s="291">
        <v>14.99</v>
      </c>
      <c r="F9" s="292">
        <f t="shared" si="0"/>
        <v>89.94</v>
      </c>
    </row>
    <row r="10" spans="1:10" ht="21.6" x14ac:dyDescent="0.25">
      <c r="A10" s="231" t="s">
        <v>74</v>
      </c>
      <c r="B10" s="290" t="s">
        <v>349</v>
      </c>
      <c r="C10" s="231" t="s">
        <v>77</v>
      </c>
      <c r="D10" s="291">
        <f>D9</f>
        <v>6</v>
      </c>
      <c r="E10" s="291">
        <v>79.989999999999995</v>
      </c>
      <c r="F10" s="292">
        <f t="shared" ref="F10" si="2">E10*D10</f>
        <v>479.94</v>
      </c>
    </row>
    <row r="11" spans="1:10" x14ac:dyDescent="0.25">
      <c r="A11" s="235"/>
      <c r="B11" s="234"/>
      <c r="C11" s="235"/>
      <c r="D11" s="235"/>
      <c r="E11" s="231"/>
      <c r="F11" s="237">
        <f>SUM(F3:F10)</f>
        <v>2948.08</v>
      </c>
    </row>
    <row r="12" spans="1:10" x14ac:dyDescent="0.25">
      <c r="A12" s="235"/>
      <c r="B12" s="234"/>
      <c r="C12" s="235"/>
      <c r="D12" s="235"/>
      <c r="E12" s="232"/>
      <c r="F12" s="238"/>
    </row>
    <row r="13" spans="1:10" x14ac:dyDescent="0.25">
      <c r="A13" s="262" t="s">
        <v>276</v>
      </c>
      <c r="B13" s="234"/>
      <c r="C13" s="235"/>
      <c r="D13" s="235"/>
      <c r="E13" s="232"/>
      <c r="F13" s="238"/>
    </row>
    <row r="14" spans="1:10" x14ac:dyDescent="0.25">
      <c r="A14" s="271" t="s">
        <v>277</v>
      </c>
      <c r="B14" s="270" t="s">
        <v>284</v>
      </c>
      <c r="C14" s="235"/>
      <c r="D14" s="235"/>
      <c r="E14" s="232"/>
      <c r="F14" s="238"/>
    </row>
    <row r="15" spans="1:10" x14ac:dyDescent="0.25">
      <c r="A15" s="269" t="s">
        <v>278</v>
      </c>
      <c r="B15" s="270" t="s">
        <v>284</v>
      </c>
      <c r="C15" s="235"/>
      <c r="D15" s="235"/>
      <c r="E15" s="232"/>
      <c r="F15" s="238"/>
    </row>
    <row r="16" spans="1:10" x14ac:dyDescent="0.25">
      <c r="A16" s="269" t="s">
        <v>279</v>
      </c>
      <c r="B16" s="234" t="s">
        <v>353</v>
      </c>
      <c r="C16" s="235"/>
      <c r="D16" s="235"/>
      <c r="E16" s="272">
        <f>5366*2</f>
        <v>10732</v>
      </c>
      <c r="F16" s="267" t="s">
        <v>287</v>
      </c>
      <c r="H16" s="254"/>
    </row>
    <row r="17" spans="1:9" x14ac:dyDescent="0.25">
      <c r="A17" s="269"/>
      <c r="B17" s="234" t="s">
        <v>315</v>
      </c>
      <c r="C17" s="235"/>
      <c r="D17" s="235"/>
      <c r="E17" s="272">
        <f>1698*2</f>
        <v>3396</v>
      </c>
      <c r="F17" s="267" t="s">
        <v>287</v>
      </c>
    </row>
    <row r="18" spans="1:9" x14ac:dyDescent="0.25">
      <c r="A18" s="269"/>
      <c r="B18" s="270" t="s">
        <v>289</v>
      </c>
      <c r="C18" s="235"/>
      <c r="D18" s="235"/>
      <c r="E18" s="272">
        <f>150+150+120+120</f>
        <v>540</v>
      </c>
      <c r="F18" s="267" t="s">
        <v>287</v>
      </c>
    </row>
    <row r="19" spans="1:9" x14ac:dyDescent="0.25">
      <c r="A19" s="269"/>
      <c r="B19" s="270" t="s">
        <v>290</v>
      </c>
      <c r="C19" s="235"/>
      <c r="D19" s="235"/>
      <c r="E19" s="272">
        <f t="shared" ref="E19:E20" si="3">150+150+120+120</f>
        <v>540</v>
      </c>
      <c r="F19" s="267" t="s">
        <v>287</v>
      </c>
    </row>
    <row r="20" spans="1:9" x14ac:dyDescent="0.25">
      <c r="A20" s="269"/>
      <c r="B20" s="270" t="s">
        <v>291</v>
      </c>
      <c r="C20" s="235"/>
      <c r="D20" s="235"/>
      <c r="E20" s="272">
        <f t="shared" si="3"/>
        <v>540</v>
      </c>
      <c r="F20" s="267" t="s">
        <v>287</v>
      </c>
    </row>
    <row r="21" spans="1:9" x14ac:dyDescent="0.25">
      <c r="A21" s="269"/>
      <c r="B21" s="270" t="s">
        <v>292</v>
      </c>
      <c r="C21" s="235"/>
      <c r="D21" s="235"/>
      <c r="E21" s="272">
        <f>(150+118)*4</f>
        <v>1072</v>
      </c>
      <c r="F21" s="267" t="s">
        <v>287</v>
      </c>
    </row>
    <row r="22" spans="1:9" x14ac:dyDescent="0.25">
      <c r="A22" s="257" t="s">
        <v>294</v>
      </c>
      <c r="B22" s="270" t="s">
        <v>352</v>
      </c>
      <c r="C22" s="235"/>
      <c r="D22" s="235"/>
      <c r="E22" s="273">
        <f>5.608*10.233*2</f>
        <v>114.77</v>
      </c>
      <c r="F22" s="267" t="s">
        <v>28</v>
      </c>
    </row>
    <row r="23" spans="1:9" x14ac:dyDescent="0.25">
      <c r="A23" s="269"/>
      <c r="B23" s="270" t="s">
        <v>320</v>
      </c>
      <c r="C23" s="235"/>
      <c r="D23" s="235"/>
      <c r="E23" s="273">
        <f>1.698*10.233*2</f>
        <v>34.75</v>
      </c>
      <c r="F23" s="267" t="s">
        <v>28</v>
      </c>
    </row>
    <row r="24" spans="1:9" x14ac:dyDescent="0.25">
      <c r="A24" s="269" t="s">
        <v>283</v>
      </c>
      <c r="B24" s="270" t="s">
        <v>293</v>
      </c>
      <c r="C24" s="235"/>
      <c r="D24" s="235"/>
      <c r="E24" s="273">
        <f>0.39*0.4*124.49</f>
        <v>19.420000000000002</v>
      </c>
      <c r="F24" s="267" t="s">
        <v>28</v>
      </c>
    </row>
    <row r="25" spans="1:9" x14ac:dyDescent="0.25">
      <c r="A25" s="269" t="s">
        <v>281</v>
      </c>
      <c r="B25" s="270" t="s">
        <v>354</v>
      </c>
      <c r="C25" s="235"/>
      <c r="D25" s="235"/>
      <c r="E25" s="273">
        <f>0.013508*49.79*2</f>
        <v>1.35</v>
      </c>
      <c r="F25" s="267" t="s">
        <v>28</v>
      </c>
    </row>
    <row r="26" spans="1:9" x14ac:dyDescent="0.25">
      <c r="A26" s="269" t="s">
        <v>294</v>
      </c>
      <c r="B26" s="270" t="s">
        <v>295</v>
      </c>
      <c r="C26" s="235"/>
      <c r="D26" s="235"/>
      <c r="E26" s="273">
        <v>6</v>
      </c>
      <c r="F26" s="267" t="s">
        <v>296</v>
      </c>
    </row>
    <row r="27" spans="1:9" x14ac:dyDescent="0.25">
      <c r="A27" s="235"/>
      <c r="B27" s="234"/>
      <c r="C27" s="235"/>
      <c r="D27" s="235"/>
      <c r="E27" s="232"/>
      <c r="F27" s="238"/>
    </row>
    <row r="28" spans="1:9" ht="20.399999999999999" x14ac:dyDescent="0.25">
      <c r="A28" s="142" t="s">
        <v>154</v>
      </c>
      <c r="B28" s="143" t="s">
        <v>216</v>
      </c>
      <c r="C28" s="142" t="s">
        <v>77</v>
      </c>
      <c r="D28" s="142" t="s">
        <v>164</v>
      </c>
      <c r="E28" s="142" t="s">
        <v>150</v>
      </c>
      <c r="F28" s="142" t="s">
        <v>151</v>
      </c>
    </row>
    <row r="29" spans="1:9" x14ac:dyDescent="0.25">
      <c r="A29" s="231">
        <v>88315</v>
      </c>
      <c r="B29" s="290" t="s">
        <v>153</v>
      </c>
      <c r="C29" s="231" t="s">
        <v>71</v>
      </c>
      <c r="D29" s="291">
        <v>2.6</v>
      </c>
      <c r="E29" s="291">
        <v>18.98</v>
      </c>
      <c r="F29" s="292">
        <f t="shared" ref="F29:F34" si="4">E29*D29</f>
        <v>49.35</v>
      </c>
    </row>
    <row r="30" spans="1:9" x14ac:dyDescent="0.25">
      <c r="A30" s="231">
        <v>88316</v>
      </c>
      <c r="B30" s="290" t="s">
        <v>163</v>
      </c>
      <c r="C30" s="231" t="s">
        <v>71</v>
      </c>
      <c r="D30" s="291">
        <v>2.6</v>
      </c>
      <c r="E30" s="291">
        <v>13.66</v>
      </c>
      <c r="F30" s="292">
        <f t="shared" si="4"/>
        <v>35.520000000000003</v>
      </c>
    </row>
    <row r="31" spans="1:9" ht="21.6" x14ac:dyDescent="0.25">
      <c r="A31" s="231">
        <v>98746</v>
      </c>
      <c r="B31" s="290" t="s">
        <v>214</v>
      </c>
      <c r="C31" s="231" t="s">
        <v>87</v>
      </c>
      <c r="D31" s="291">
        <f>SUM(E43:E46)/1000</f>
        <v>6.98</v>
      </c>
      <c r="E31" s="291">
        <v>55.37</v>
      </c>
      <c r="F31" s="292">
        <f t="shared" si="4"/>
        <v>386.48</v>
      </c>
      <c r="H31" s="239"/>
    </row>
    <row r="32" spans="1:9" ht="42.6" customHeight="1" x14ac:dyDescent="0.25">
      <c r="A32" s="231" t="s">
        <v>74</v>
      </c>
      <c r="B32" s="290" t="s">
        <v>342</v>
      </c>
      <c r="C32" s="231" t="s">
        <v>155</v>
      </c>
      <c r="D32" s="291">
        <f>E47</f>
        <v>43.88</v>
      </c>
      <c r="E32" s="291">
        <f>460/61.4</f>
        <v>7.49</v>
      </c>
      <c r="F32" s="292">
        <f t="shared" si="4"/>
        <v>328.66</v>
      </c>
      <c r="H32" s="239"/>
      <c r="I32" s="240"/>
    </row>
    <row r="33" spans="1:9" ht="30" customHeight="1" x14ac:dyDescent="0.25">
      <c r="A33" s="231">
        <v>1334</v>
      </c>
      <c r="B33" s="290" t="s">
        <v>222</v>
      </c>
      <c r="C33" s="231" t="s">
        <v>155</v>
      </c>
      <c r="D33" s="291">
        <f>E48</f>
        <v>10.46</v>
      </c>
      <c r="E33" s="291">
        <v>6.13</v>
      </c>
      <c r="F33" s="292">
        <f t="shared" si="4"/>
        <v>64.12</v>
      </c>
      <c r="H33" s="239"/>
      <c r="I33" s="239"/>
    </row>
    <row r="34" spans="1:9" ht="21.6" x14ac:dyDescent="0.25">
      <c r="A34" s="294">
        <v>1330</v>
      </c>
      <c r="B34" s="295" t="s">
        <v>223</v>
      </c>
      <c r="C34" s="294" t="s">
        <v>155</v>
      </c>
      <c r="D34" s="296">
        <f>E49</f>
        <v>2.02</v>
      </c>
      <c r="E34" s="292">
        <v>5.33</v>
      </c>
      <c r="F34" s="292">
        <f t="shared" si="4"/>
        <v>10.77</v>
      </c>
      <c r="H34" s="239"/>
    </row>
    <row r="35" spans="1:9" ht="21.6" x14ac:dyDescent="0.25">
      <c r="A35" s="294">
        <v>1330</v>
      </c>
      <c r="B35" s="295" t="s">
        <v>275</v>
      </c>
      <c r="C35" s="294" t="s">
        <v>155</v>
      </c>
      <c r="D35" s="296">
        <f>E50</f>
        <v>0.9</v>
      </c>
      <c r="E35" s="292">
        <v>5.33</v>
      </c>
      <c r="F35" s="292">
        <f t="shared" ref="F35:F37" si="5">E35*D35</f>
        <v>4.8</v>
      </c>
      <c r="H35" s="239"/>
    </row>
    <row r="36" spans="1:9" x14ac:dyDescent="0.25">
      <c r="A36" s="231" t="s">
        <v>74</v>
      </c>
      <c r="B36" s="290" t="s">
        <v>348</v>
      </c>
      <c r="C36" s="231" t="s">
        <v>77</v>
      </c>
      <c r="D36" s="291">
        <v>4</v>
      </c>
      <c r="E36" s="291">
        <v>14.99</v>
      </c>
      <c r="F36" s="292">
        <f t="shared" si="5"/>
        <v>59.96</v>
      </c>
    </row>
    <row r="37" spans="1:9" ht="21.6" x14ac:dyDescent="0.25">
      <c r="A37" s="231" t="s">
        <v>74</v>
      </c>
      <c r="B37" s="290" t="s">
        <v>349</v>
      </c>
      <c r="C37" s="231" t="s">
        <v>77</v>
      </c>
      <c r="D37" s="291">
        <v>4</v>
      </c>
      <c r="E37" s="291">
        <v>79.989999999999995</v>
      </c>
      <c r="F37" s="292">
        <f t="shared" si="5"/>
        <v>319.95999999999998</v>
      </c>
    </row>
    <row r="38" spans="1:9" x14ac:dyDescent="0.25">
      <c r="A38" s="235"/>
      <c r="B38" s="234"/>
      <c r="C38" s="235"/>
      <c r="D38" s="235"/>
      <c r="E38" s="256"/>
      <c r="F38" s="237">
        <f>SUM(F29:F37)</f>
        <v>1259.6199999999999</v>
      </c>
    </row>
    <row r="39" spans="1:9" x14ac:dyDescent="0.25">
      <c r="A39" s="235"/>
      <c r="B39" s="234"/>
      <c r="C39" s="235"/>
      <c r="D39" s="235"/>
      <c r="E39" s="232"/>
      <c r="F39" s="238"/>
    </row>
    <row r="40" spans="1:9" x14ac:dyDescent="0.25">
      <c r="A40" s="262" t="s">
        <v>276</v>
      </c>
      <c r="B40" s="234"/>
      <c r="C40" s="235"/>
      <c r="D40" s="235"/>
      <c r="E40" s="232"/>
      <c r="F40" s="238"/>
    </row>
    <row r="41" spans="1:9" x14ac:dyDescent="0.25">
      <c r="A41" s="263" t="s">
        <v>277</v>
      </c>
      <c r="B41" s="264" t="s">
        <v>285</v>
      </c>
      <c r="C41" s="265"/>
      <c r="D41" s="265"/>
      <c r="E41" s="264"/>
      <c r="F41" s="233"/>
    </row>
    <row r="42" spans="1:9" x14ac:dyDescent="0.25">
      <c r="A42" s="266" t="s">
        <v>278</v>
      </c>
      <c r="B42" s="337" t="s">
        <v>285</v>
      </c>
      <c r="C42" s="337"/>
      <c r="D42" s="337"/>
      <c r="E42" s="264"/>
      <c r="F42" s="233"/>
    </row>
    <row r="43" spans="1:9" x14ac:dyDescent="0.25">
      <c r="A43" s="266" t="s">
        <v>279</v>
      </c>
      <c r="B43" s="336" t="s">
        <v>316</v>
      </c>
      <c r="C43" s="336"/>
      <c r="D43" s="336"/>
      <c r="E43" s="275">
        <f>2144*2</f>
        <v>4288</v>
      </c>
      <c r="F43" s="267" t="s">
        <v>287</v>
      </c>
      <c r="H43" s="254"/>
    </row>
    <row r="44" spans="1:9" x14ac:dyDescent="0.25">
      <c r="A44" s="266"/>
      <c r="B44" s="336" t="s">
        <v>288</v>
      </c>
      <c r="C44" s="336"/>
      <c r="D44" s="336"/>
      <c r="E44" s="272">
        <f>150+150+120+120</f>
        <v>540</v>
      </c>
      <c r="F44" s="267" t="s">
        <v>287</v>
      </c>
    </row>
    <row r="45" spans="1:9" x14ac:dyDescent="0.25">
      <c r="A45" s="266"/>
      <c r="B45" s="336" t="s">
        <v>280</v>
      </c>
      <c r="C45" s="336"/>
      <c r="D45" s="336"/>
      <c r="E45" s="272">
        <f>(150+118)*6</f>
        <v>1608</v>
      </c>
      <c r="F45" s="267" t="s">
        <v>287</v>
      </c>
    </row>
    <row r="46" spans="1:9" x14ac:dyDescent="0.25">
      <c r="A46" s="266"/>
      <c r="B46" s="336" t="s">
        <v>297</v>
      </c>
      <c r="C46" s="336"/>
      <c r="D46" s="336"/>
      <c r="E46" s="272">
        <f>150+150+120+120</f>
        <v>540</v>
      </c>
      <c r="F46" s="267" t="s">
        <v>287</v>
      </c>
    </row>
    <row r="47" spans="1:9" x14ac:dyDescent="0.25">
      <c r="A47" s="257" t="s">
        <v>294</v>
      </c>
      <c r="B47" s="336" t="s">
        <v>321</v>
      </c>
      <c r="C47" s="336"/>
      <c r="D47" s="336"/>
      <c r="E47" s="274">
        <f>2.144*10.233*2</f>
        <v>43.88</v>
      </c>
      <c r="F47" s="267" t="s">
        <v>28</v>
      </c>
    </row>
    <row r="48" spans="1:9" x14ac:dyDescent="0.25">
      <c r="A48" s="269" t="s">
        <v>283</v>
      </c>
      <c r="B48" s="336" t="s">
        <v>298</v>
      </c>
      <c r="C48" s="336"/>
      <c r="D48" s="336"/>
      <c r="E48" s="274">
        <f>0.28*0.3*124.49</f>
        <v>10.46</v>
      </c>
      <c r="F48" s="267" t="s">
        <v>28</v>
      </c>
    </row>
    <row r="49" spans="1:8" x14ac:dyDescent="0.25">
      <c r="A49" s="269" t="s">
        <v>281</v>
      </c>
      <c r="B49" s="337" t="s">
        <v>355</v>
      </c>
      <c r="C49" s="337"/>
      <c r="D49" s="337"/>
      <c r="E49" s="274">
        <f>0.013508*49.79*3</f>
        <v>2.02</v>
      </c>
      <c r="F49" s="267" t="s">
        <v>28</v>
      </c>
    </row>
    <row r="50" spans="1:8" x14ac:dyDescent="0.25">
      <c r="A50" s="269" t="s">
        <v>281</v>
      </c>
      <c r="B50" s="337" t="s">
        <v>299</v>
      </c>
      <c r="C50" s="337"/>
      <c r="D50" s="337"/>
      <c r="E50" s="274">
        <f>0.018*49.79</f>
        <v>0.9</v>
      </c>
      <c r="F50" s="267" t="s">
        <v>28</v>
      </c>
    </row>
    <row r="51" spans="1:8" x14ac:dyDescent="0.25">
      <c r="A51" s="269" t="s">
        <v>294</v>
      </c>
      <c r="B51" s="270" t="s">
        <v>304</v>
      </c>
      <c r="C51" s="235"/>
      <c r="D51" s="235"/>
      <c r="E51" s="273">
        <v>4</v>
      </c>
      <c r="F51" s="267" t="s">
        <v>296</v>
      </c>
    </row>
    <row r="52" spans="1:8" x14ac:dyDescent="0.25">
      <c r="A52" s="266"/>
      <c r="B52" s="270"/>
      <c r="C52" s="235"/>
      <c r="D52" s="235"/>
      <c r="E52" s="232"/>
      <c r="F52" s="238"/>
    </row>
    <row r="53" spans="1:8" ht="20.399999999999999" x14ac:dyDescent="0.25">
      <c r="A53" s="142" t="s">
        <v>159</v>
      </c>
      <c r="B53" s="143" t="s">
        <v>217</v>
      </c>
      <c r="C53" s="142" t="s">
        <v>77</v>
      </c>
      <c r="D53" s="142" t="s">
        <v>164</v>
      </c>
      <c r="E53" s="142" t="s">
        <v>150</v>
      </c>
      <c r="F53" s="142" t="s">
        <v>151</v>
      </c>
    </row>
    <row r="54" spans="1:8" x14ac:dyDescent="0.25">
      <c r="A54" s="231">
        <v>88315</v>
      </c>
      <c r="B54" s="290" t="s">
        <v>153</v>
      </c>
      <c r="C54" s="231" t="s">
        <v>71</v>
      </c>
      <c r="D54" s="291">
        <v>3.8</v>
      </c>
      <c r="E54" s="291">
        <v>18.98</v>
      </c>
      <c r="F54" s="292">
        <f t="shared" ref="F54:F62" si="6">E54*D54</f>
        <v>72.12</v>
      </c>
    </row>
    <row r="55" spans="1:8" x14ac:dyDescent="0.25">
      <c r="A55" s="231">
        <v>88316</v>
      </c>
      <c r="B55" s="290" t="s">
        <v>163</v>
      </c>
      <c r="C55" s="231" t="s">
        <v>71</v>
      </c>
      <c r="D55" s="291">
        <v>3.8</v>
      </c>
      <c r="E55" s="291">
        <v>13.66</v>
      </c>
      <c r="F55" s="292">
        <f t="shared" si="6"/>
        <v>51.91</v>
      </c>
    </row>
    <row r="56" spans="1:8" ht="21.6" x14ac:dyDescent="0.25">
      <c r="A56" s="231">
        <v>98746</v>
      </c>
      <c r="B56" s="290" t="s">
        <v>214</v>
      </c>
      <c r="C56" s="231" t="s">
        <v>87</v>
      </c>
      <c r="D56" s="293">
        <f>SUM(E68:E72)/1000</f>
        <v>9.83</v>
      </c>
      <c r="E56" s="291">
        <v>55.37</v>
      </c>
      <c r="F56" s="292">
        <f t="shared" si="6"/>
        <v>544.29</v>
      </c>
      <c r="H56" s="239"/>
    </row>
    <row r="57" spans="1:8" ht="45" customHeight="1" x14ac:dyDescent="0.25">
      <c r="A57" s="231" t="s">
        <v>74</v>
      </c>
      <c r="B57" s="290" t="s">
        <v>343</v>
      </c>
      <c r="C57" s="231" t="s">
        <v>155</v>
      </c>
      <c r="D57" s="291">
        <f>E73+E74</f>
        <v>62.05</v>
      </c>
      <c r="E57" s="291">
        <f>460/61.4</f>
        <v>7.49</v>
      </c>
      <c r="F57" s="292">
        <f t="shared" si="6"/>
        <v>464.75</v>
      </c>
      <c r="G57" s="239"/>
    </row>
    <row r="58" spans="1:8" ht="30" customHeight="1" x14ac:dyDescent="0.25">
      <c r="A58" s="231">
        <v>1334</v>
      </c>
      <c r="B58" s="290" t="s">
        <v>224</v>
      </c>
      <c r="C58" s="231" t="s">
        <v>155</v>
      </c>
      <c r="D58" s="291">
        <f>E75</f>
        <v>21.66</v>
      </c>
      <c r="E58" s="291">
        <v>6.13</v>
      </c>
      <c r="F58" s="292">
        <f t="shared" si="6"/>
        <v>132.78</v>
      </c>
    </row>
    <row r="59" spans="1:8" ht="21.6" x14ac:dyDescent="0.25">
      <c r="A59" s="231">
        <v>1330</v>
      </c>
      <c r="B59" s="290" t="s">
        <v>225</v>
      </c>
      <c r="C59" s="231" t="s">
        <v>155</v>
      </c>
      <c r="D59" s="291">
        <f>E76</f>
        <v>2.69</v>
      </c>
      <c r="E59" s="291">
        <v>5.33</v>
      </c>
      <c r="F59" s="292">
        <f t="shared" si="6"/>
        <v>14.34</v>
      </c>
    </row>
    <row r="60" spans="1:8" ht="21.6" x14ac:dyDescent="0.25">
      <c r="A60" s="294">
        <v>1330</v>
      </c>
      <c r="B60" s="295" t="s">
        <v>226</v>
      </c>
      <c r="C60" s="294" t="s">
        <v>155</v>
      </c>
      <c r="D60" s="297">
        <f>E77</f>
        <v>0.9</v>
      </c>
      <c r="E60" s="292">
        <v>5.33</v>
      </c>
      <c r="F60" s="292">
        <f t="shared" si="6"/>
        <v>4.8</v>
      </c>
    </row>
    <row r="61" spans="1:8" x14ac:dyDescent="0.25">
      <c r="A61" s="231" t="s">
        <v>74</v>
      </c>
      <c r="B61" s="290" t="s">
        <v>348</v>
      </c>
      <c r="C61" s="231" t="s">
        <v>77</v>
      </c>
      <c r="D61" s="291">
        <v>6</v>
      </c>
      <c r="E61" s="291">
        <v>14.99</v>
      </c>
      <c r="F61" s="292">
        <f t="shared" si="6"/>
        <v>89.94</v>
      </c>
    </row>
    <row r="62" spans="1:8" ht="21.6" x14ac:dyDescent="0.25">
      <c r="A62" s="231" t="s">
        <v>74</v>
      </c>
      <c r="B62" s="290" t="s">
        <v>349</v>
      </c>
      <c r="C62" s="231" t="s">
        <v>77</v>
      </c>
      <c r="D62" s="291">
        <v>6</v>
      </c>
      <c r="E62" s="291">
        <v>79.989999999999995</v>
      </c>
      <c r="F62" s="292">
        <f t="shared" si="6"/>
        <v>479.94</v>
      </c>
    </row>
    <row r="63" spans="1:8" x14ac:dyDescent="0.25">
      <c r="A63" s="235"/>
      <c r="B63" s="234"/>
      <c r="C63" s="235"/>
      <c r="D63" s="235"/>
      <c r="E63" s="231"/>
      <c r="F63" s="237">
        <f>SUM(F54:F62)</f>
        <v>1854.87</v>
      </c>
    </row>
    <row r="64" spans="1:8" x14ac:dyDescent="0.25">
      <c r="A64" s="235"/>
      <c r="B64" s="234"/>
      <c r="C64" s="235"/>
      <c r="D64" s="235"/>
      <c r="E64" s="232"/>
      <c r="F64" s="238"/>
    </row>
    <row r="65" spans="1:8" x14ac:dyDescent="0.25">
      <c r="A65" s="255" t="s">
        <v>276</v>
      </c>
      <c r="B65" s="144"/>
      <c r="C65" s="145"/>
      <c r="D65" s="145"/>
      <c r="E65" s="236"/>
      <c r="F65" s="146"/>
    </row>
    <row r="66" spans="1:8" x14ac:dyDescent="0.25">
      <c r="A66" s="258" t="s">
        <v>277</v>
      </c>
      <c r="B66" s="253" t="s">
        <v>286</v>
      </c>
      <c r="C66" s="145"/>
      <c r="D66" s="145"/>
      <c r="E66" s="236"/>
      <c r="F66" s="146"/>
    </row>
    <row r="67" spans="1:8" x14ac:dyDescent="0.25">
      <c r="A67" s="257" t="s">
        <v>278</v>
      </c>
      <c r="B67" s="253" t="s">
        <v>286</v>
      </c>
      <c r="C67" s="145"/>
      <c r="D67" s="145"/>
      <c r="E67" s="236"/>
      <c r="F67" s="146"/>
    </row>
    <row r="68" spans="1:8" x14ac:dyDescent="0.25">
      <c r="A68" s="257" t="s">
        <v>279</v>
      </c>
      <c r="B68" s="144" t="s">
        <v>317</v>
      </c>
      <c r="C68" s="145"/>
      <c r="D68" s="145"/>
      <c r="E68" s="260">
        <f>2144*2</f>
        <v>4288</v>
      </c>
      <c r="F68" s="259" t="s">
        <v>287</v>
      </c>
      <c r="H68" s="254"/>
    </row>
    <row r="69" spans="1:8" x14ac:dyDescent="0.25">
      <c r="A69" s="257"/>
      <c r="B69" s="144" t="s">
        <v>318</v>
      </c>
      <c r="C69" s="145"/>
      <c r="D69" s="145"/>
      <c r="E69" s="260">
        <f>888*2</f>
        <v>1776</v>
      </c>
      <c r="F69" s="259" t="s">
        <v>287</v>
      </c>
      <c r="H69" s="254"/>
    </row>
    <row r="70" spans="1:8" x14ac:dyDescent="0.25">
      <c r="A70" s="257"/>
      <c r="B70" s="253" t="s">
        <v>288</v>
      </c>
      <c r="C70" s="145"/>
      <c r="D70" s="145"/>
      <c r="E70" s="260">
        <f>150+150+120+120</f>
        <v>540</v>
      </c>
      <c r="F70" s="259" t="s">
        <v>287</v>
      </c>
    </row>
    <row r="71" spans="1:8" x14ac:dyDescent="0.25">
      <c r="A71" s="257"/>
      <c r="B71" s="253" t="s">
        <v>300</v>
      </c>
      <c r="C71" s="145"/>
      <c r="D71" s="145"/>
      <c r="E71" s="260">
        <f>540+540</f>
        <v>1080</v>
      </c>
      <c r="F71" s="259" t="s">
        <v>287</v>
      </c>
    </row>
    <row r="72" spans="1:8" x14ac:dyDescent="0.25">
      <c r="A72" s="257"/>
      <c r="B72" s="253" t="s">
        <v>301</v>
      </c>
      <c r="C72" s="145"/>
      <c r="D72" s="145"/>
      <c r="E72" s="260">
        <f>(150+118)*8</f>
        <v>2144</v>
      </c>
      <c r="F72" s="259" t="s">
        <v>287</v>
      </c>
    </row>
    <row r="73" spans="1:8" x14ac:dyDescent="0.25">
      <c r="A73" s="257" t="s">
        <v>294</v>
      </c>
      <c r="B73" s="336" t="s">
        <v>322</v>
      </c>
      <c r="C73" s="336"/>
      <c r="D73" s="336"/>
      <c r="E73" s="261">
        <f>2.144*10.233*2</f>
        <v>43.88</v>
      </c>
      <c r="F73" s="259" t="s">
        <v>28</v>
      </c>
    </row>
    <row r="74" spans="1:8" x14ac:dyDescent="0.25">
      <c r="A74" s="257"/>
      <c r="B74" s="336" t="s">
        <v>323</v>
      </c>
      <c r="C74" s="336"/>
      <c r="D74" s="336"/>
      <c r="E74" s="261">
        <f>0.888*10.233*2</f>
        <v>18.170000000000002</v>
      </c>
      <c r="F74" s="259" t="s">
        <v>28</v>
      </c>
    </row>
    <row r="75" spans="1:8" ht="15.75" customHeight="1" x14ac:dyDescent="0.25">
      <c r="A75" s="257" t="s">
        <v>283</v>
      </c>
      <c r="B75" s="336" t="s">
        <v>302</v>
      </c>
      <c r="C75" s="336"/>
      <c r="D75" s="336"/>
      <c r="E75" s="261">
        <f>0.3*0.58*124.49</f>
        <v>21.66</v>
      </c>
      <c r="F75" s="259" t="s">
        <v>28</v>
      </c>
    </row>
    <row r="76" spans="1:8" x14ac:dyDescent="0.25">
      <c r="A76" s="257" t="s">
        <v>281</v>
      </c>
      <c r="B76" s="337" t="s">
        <v>356</v>
      </c>
      <c r="C76" s="337"/>
      <c r="D76" s="337"/>
      <c r="E76" s="261">
        <f>0.013508*49.79*4</f>
        <v>2.69</v>
      </c>
      <c r="F76" s="259" t="s">
        <v>28</v>
      </c>
    </row>
    <row r="77" spans="1:8" x14ac:dyDescent="0.25">
      <c r="A77" s="257" t="s">
        <v>281</v>
      </c>
      <c r="B77" s="337" t="s">
        <v>303</v>
      </c>
      <c r="C77" s="337"/>
      <c r="D77" s="337"/>
      <c r="E77" s="261">
        <f>0.018*49.79</f>
        <v>0.9</v>
      </c>
      <c r="F77" s="259" t="s">
        <v>28</v>
      </c>
    </row>
    <row r="78" spans="1:8" x14ac:dyDescent="0.25">
      <c r="A78" s="269" t="s">
        <v>294</v>
      </c>
      <c r="B78" s="270" t="s">
        <v>305</v>
      </c>
      <c r="C78" s="235"/>
      <c r="D78" s="235"/>
      <c r="E78" s="261">
        <v>6</v>
      </c>
      <c r="F78" s="259" t="s">
        <v>296</v>
      </c>
    </row>
    <row r="79" spans="1:8" x14ac:dyDescent="0.25">
      <c r="A79" s="257"/>
      <c r="B79" s="253"/>
      <c r="C79" s="145"/>
      <c r="D79" s="145"/>
      <c r="E79" s="272"/>
      <c r="F79" s="238"/>
    </row>
    <row r="80" spans="1:8" ht="20.399999999999999" x14ac:dyDescent="0.25">
      <c r="A80" s="142" t="s">
        <v>161</v>
      </c>
      <c r="B80" s="143" t="s">
        <v>218</v>
      </c>
      <c r="C80" s="142" t="s">
        <v>296</v>
      </c>
      <c r="D80" s="142" t="s">
        <v>164</v>
      </c>
      <c r="E80" s="142" t="s">
        <v>150</v>
      </c>
      <c r="F80" s="142" t="s">
        <v>151</v>
      </c>
    </row>
    <row r="81" spans="1:10" x14ac:dyDescent="0.25">
      <c r="A81" s="231">
        <v>88315</v>
      </c>
      <c r="B81" s="290" t="s">
        <v>153</v>
      </c>
      <c r="C81" s="231" t="s">
        <v>71</v>
      </c>
      <c r="D81" s="291">
        <f>1.3*35.65</f>
        <v>46.35</v>
      </c>
      <c r="E81" s="291">
        <v>18.98</v>
      </c>
      <c r="F81" s="292">
        <f t="shared" ref="F81:F87" si="7">E81*D81</f>
        <v>879.72</v>
      </c>
    </row>
    <row r="82" spans="1:10" x14ac:dyDescent="0.25">
      <c r="A82" s="231">
        <v>88316</v>
      </c>
      <c r="B82" s="290" t="s">
        <v>163</v>
      </c>
      <c r="C82" s="231" t="s">
        <v>71</v>
      </c>
      <c r="D82" s="291">
        <f>1.3*35.65</f>
        <v>46.35</v>
      </c>
      <c r="E82" s="291">
        <v>13.66</v>
      </c>
      <c r="F82" s="292">
        <f t="shared" si="7"/>
        <v>633.14</v>
      </c>
    </row>
    <row r="83" spans="1:10" ht="21.6" x14ac:dyDescent="0.25">
      <c r="A83" s="231">
        <v>98746</v>
      </c>
      <c r="B83" s="290" t="s">
        <v>214</v>
      </c>
      <c r="C83" s="231" t="s">
        <v>87</v>
      </c>
      <c r="D83" s="291">
        <f>SUM(E93:E94)/1000</f>
        <v>30.49</v>
      </c>
      <c r="E83" s="291">
        <v>55.37</v>
      </c>
      <c r="F83" s="292">
        <f t="shared" si="7"/>
        <v>1688.23</v>
      </c>
      <c r="H83" s="240"/>
    </row>
    <row r="84" spans="1:10" ht="46.2" customHeight="1" x14ac:dyDescent="0.25">
      <c r="A84" s="231" t="s">
        <v>74</v>
      </c>
      <c r="B84" s="290" t="s">
        <v>344</v>
      </c>
      <c r="C84" s="231" t="s">
        <v>155</v>
      </c>
      <c r="D84" s="291">
        <f>E95</f>
        <v>551.30999999999995</v>
      </c>
      <c r="E84" s="291">
        <f>460/61.4</f>
        <v>7.49</v>
      </c>
      <c r="F84" s="292">
        <f t="shared" si="7"/>
        <v>4129.3100000000004</v>
      </c>
      <c r="I84" s="239"/>
    </row>
    <row r="85" spans="1:10" ht="30" customHeight="1" x14ac:dyDescent="0.25">
      <c r="A85" s="231">
        <v>11123</v>
      </c>
      <c r="B85" s="290" t="s">
        <v>307</v>
      </c>
      <c r="C85" s="231" t="s">
        <v>155</v>
      </c>
      <c r="D85" s="291">
        <f>E96</f>
        <v>358.22</v>
      </c>
      <c r="E85" s="291">
        <v>34.590000000000003</v>
      </c>
      <c r="F85" s="292">
        <f t="shared" si="7"/>
        <v>12390.83</v>
      </c>
    </row>
    <row r="86" spans="1:10" ht="21.6" x14ac:dyDescent="0.25">
      <c r="A86" s="231">
        <v>4777</v>
      </c>
      <c r="B86" s="290" t="s">
        <v>308</v>
      </c>
      <c r="C86" s="231" t="s">
        <v>155</v>
      </c>
      <c r="D86" s="291">
        <f>E97</f>
        <v>245.51</v>
      </c>
      <c r="E86" s="291">
        <v>4.38</v>
      </c>
      <c r="F86" s="292">
        <f t="shared" si="7"/>
        <v>1075.33</v>
      </c>
      <c r="J86" s="239"/>
    </row>
    <row r="87" spans="1:10" ht="21.6" x14ac:dyDescent="0.25">
      <c r="A87" s="231">
        <v>40547</v>
      </c>
      <c r="B87" s="290" t="s">
        <v>313</v>
      </c>
      <c r="C87" s="231" t="s">
        <v>312</v>
      </c>
      <c r="D87" s="291">
        <v>12.15</v>
      </c>
      <c r="E87" s="291">
        <v>11.36</v>
      </c>
      <c r="F87" s="292">
        <f t="shared" si="7"/>
        <v>138.02000000000001</v>
      </c>
      <c r="J87" s="239"/>
    </row>
    <row r="88" spans="1:10" x14ac:dyDescent="0.25">
      <c r="A88" s="235"/>
      <c r="B88" s="234"/>
      <c r="C88" s="235"/>
      <c r="D88" s="235"/>
      <c r="E88" s="256"/>
      <c r="F88" s="276">
        <f>SUM(F81:F87)</f>
        <v>20934.580000000002</v>
      </c>
      <c r="H88" s="239"/>
    </row>
    <row r="89" spans="1:10" x14ac:dyDescent="0.25">
      <c r="A89" s="235"/>
      <c r="B89" s="234"/>
      <c r="C89" s="235"/>
      <c r="D89" s="235"/>
      <c r="E89" s="232"/>
      <c r="F89" s="238"/>
    </row>
    <row r="90" spans="1:10" x14ac:dyDescent="0.25">
      <c r="A90" s="262" t="s">
        <v>276</v>
      </c>
      <c r="B90" s="234"/>
      <c r="C90" s="235"/>
      <c r="D90" s="235"/>
      <c r="E90" s="232"/>
      <c r="F90" s="238"/>
    </row>
    <row r="91" spans="1:10" x14ac:dyDescent="0.25">
      <c r="A91" s="271" t="s">
        <v>277</v>
      </c>
      <c r="B91" s="270" t="s">
        <v>351</v>
      </c>
      <c r="C91" s="235"/>
      <c r="D91" s="235"/>
      <c r="E91" s="232"/>
      <c r="F91" s="238"/>
    </row>
    <row r="92" spans="1:10" x14ac:dyDescent="0.25">
      <c r="A92" s="269" t="s">
        <v>278</v>
      </c>
      <c r="B92" s="289" t="s">
        <v>351</v>
      </c>
      <c r="C92" s="235"/>
      <c r="D92" s="235"/>
      <c r="E92" s="232"/>
      <c r="F92" s="238"/>
    </row>
    <row r="93" spans="1:10" x14ac:dyDescent="0.25">
      <c r="A93" s="269" t="s">
        <v>279</v>
      </c>
      <c r="B93" s="270" t="s">
        <v>319</v>
      </c>
      <c r="C93" s="235"/>
      <c r="D93" s="235"/>
      <c r="E93" s="268">
        <f>((120+120+60+60)*2)*13</f>
        <v>9360</v>
      </c>
      <c r="F93" s="267" t="s">
        <v>287</v>
      </c>
      <c r="H93" s="254"/>
    </row>
    <row r="94" spans="1:10" x14ac:dyDescent="0.25">
      <c r="A94" s="269"/>
      <c r="B94" s="270" t="s">
        <v>329</v>
      </c>
      <c r="C94" s="235"/>
      <c r="D94" s="235"/>
      <c r="E94" s="277">
        <f>50.8*8*52</f>
        <v>21133</v>
      </c>
      <c r="F94" s="267" t="s">
        <v>287</v>
      </c>
      <c r="H94" s="254"/>
    </row>
    <row r="95" spans="1:10" x14ac:dyDescent="0.25">
      <c r="A95" s="269" t="s">
        <v>282</v>
      </c>
      <c r="B95" s="336" t="s">
        <v>306</v>
      </c>
      <c r="C95" s="336"/>
      <c r="D95" s="336"/>
      <c r="E95" s="274">
        <f>53.876*10.233</f>
        <v>551.30999999999995</v>
      </c>
      <c r="F95" s="267" t="s">
        <v>28</v>
      </c>
    </row>
    <row r="96" spans="1:10" x14ac:dyDescent="0.25">
      <c r="A96" s="269" t="s">
        <v>309</v>
      </c>
      <c r="B96" s="336" t="s">
        <v>310</v>
      </c>
      <c r="C96" s="336"/>
      <c r="D96" s="336"/>
      <c r="E96" s="274">
        <f>1.28*25.913*10.8</f>
        <v>358.22</v>
      </c>
      <c r="F96" s="267" t="s">
        <v>28</v>
      </c>
    </row>
    <row r="97" spans="1:9" x14ac:dyDescent="0.25">
      <c r="A97" s="269" t="s">
        <v>311</v>
      </c>
      <c r="B97" s="270" t="s">
        <v>327</v>
      </c>
      <c r="C97" s="270"/>
      <c r="D97" s="270"/>
      <c r="E97" s="274">
        <f>1.29*52*3.66</f>
        <v>245.51</v>
      </c>
      <c r="F97" s="267" t="s">
        <v>28</v>
      </c>
    </row>
    <row r="98" spans="1:9" x14ac:dyDescent="0.25">
      <c r="A98" s="269"/>
      <c r="B98" s="270" t="s">
        <v>328</v>
      </c>
      <c r="C98" s="270"/>
      <c r="D98" s="270"/>
      <c r="E98" s="277">
        <v>52</v>
      </c>
      <c r="F98" s="267" t="s">
        <v>296</v>
      </c>
    </row>
    <row r="99" spans="1:9" x14ac:dyDescent="0.25">
      <c r="A99" s="269" t="s">
        <v>314</v>
      </c>
      <c r="B99" s="270" t="s">
        <v>357</v>
      </c>
      <c r="C99" s="235"/>
      <c r="D99" s="235"/>
      <c r="E99" s="274">
        <f>(25.913+1.3+25.16+1.503+52*1.3)/0.1</f>
        <v>1214.76</v>
      </c>
      <c r="F99" s="267" t="s">
        <v>296</v>
      </c>
    </row>
    <row r="100" spans="1:9" x14ac:dyDescent="0.25">
      <c r="A100" s="269"/>
      <c r="B100" s="270"/>
      <c r="C100" s="235"/>
      <c r="D100" s="235"/>
      <c r="E100" s="232"/>
      <c r="F100" s="238"/>
    </row>
    <row r="101" spans="1:9" ht="20.399999999999999" x14ac:dyDescent="0.25">
      <c r="A101" s="142" t="s">
        <v>162</v>
      </c>
      <c r="B101" s="143" t="s">
        <v>219</v>
      </c>
      <c r="C101" s="142" t="s">
        <v>296</v>
      </c>
      <c r="D101" s="142" t="s">
        <v>164</v>
      </c>
      <c r="E101" s="142" t="s">
        <v>150</v>
      </c>
      <c r="F101" s="142" t="s">
        <v>151</v>
      </c>
    </row>
    <row r="102" spans="1:9" x14ac:dyDescent="0.25">
      <c r="A102" s="231">
        <v>88315</v>
      </c>
      <c r="B102" s="290" t="s">
        <v>153</v>
      </c>
      <c r="C102" s="231" t="s">
        <v>71</v>
      </c>
      <c r="D102" s="291">
        <v>1</v>
      </c>
      <c r="E102" s="291">
        <v>18.98</v>
      </c>
      <c r="F102" s="292">
        <f t="shared" ref="F102:F105" si="8">E102*D102</f>
        <v>18.98</v>
      </c>
    </row>
    <row r="103" spans="1:9" x14ac:dyDescent="0.25">
      <c r="A103" s="231">
        <v>88316</v>
      </c>
      <c r="B103" s="290" t="s">
        <v>163</v>
      </c>
      <c r="C103" s="231" t="s">
        <v>71</v>
      </c>
      <c r="D103" s="291">
        <v>1</v>
      </c>
      <c r="E103" s="291">
        <v>13.66</v>
      </c>
      <c r="F103" s="292">
        <f t="shared" si="8"/>
        <v>13.66</v>
      </c>
    </row>
    <row r="104" spans="1:9" ht="21.6" x14ac:dyDescent="0.25">
      <c r="A104" s="231">
        <v>98746</v>
      </c>
      <c r="B104" s="290" t="s">
        <v>214</v>
      </c>
      <c r="C104" s="231" t="s">
        <v>87</v>
      </c>
      <c r="D104" s="291">
        <f>SUM(E111:E112)/1000</f>
        <v>8.3000000000000007</v>
      </c>
      <c r="E104" s="291">
        <v>55.37</v>
      </c>
      <c r="F104" s="292">
        <f t="shared" si="8"/>
        <v>459.57</v>
      </c>
      <c r="H104" s="240"/>
    </row>
    <row r="105" spans="1:9" ht="46.8" customHeight="1" x14ac:dyDescent="0.25">
      <c r="A105" s="231" t="s">
        <v>74</v>
      </c>
      <c r="B105" s="290" t="s">
        <v>345</v>
      </c>
      <c r="C105" s="231" t="s">
        <v>155</v>
      </c>
      <c r="D105" s="291">
        <f>E113</f>
        <v>29.34</v>
      </c>
      <c r="E105" s="291">
        <f>250/23.47</f>
        <v>10.65</v>
      </c>
      <c r="F105" s="292">
        <f t="shared" si="8"/>
        <v>312.47000000000003</v>
      </c>
      <c r="H105" s="239"/>
    </row>
    <row r="106" spans="1:9" x14ac:dyDescent="0.25">
      <c r="A106" s="235"/>
      <c r="B106" s="234"/>
      <c r="C106" s="235"/>
      <c r="D106" s="235"/>
      <c r="E106" s="231"/>
      <c r="F106" s="237">
        <f>SUM(F102:F105)</f>
        <v>804.68</v>
      </c>
      <c r="I106" s="239"/>
    </row>
    <row r="107" spans="1:9" x14ac:dyDescent="0.25">
      <c r="A107" s="235"/>
      <c r="B107" s="234"/>
      <c r="C107" s="235"/>
      <c r="D107" s="235"/>
      <c r="E107" s="232"/>
      <c r="F107" s="238"/>
    </row>
    <row r="108" spans="1:9" x14ac:dyDescent="0.25">
      <c r="A108" s="262" t="s">
        <v>276</v>
      </c>
      <c r="B108" s="234"/>
      <c r="C108" s="235"/>
      <c r="D108" s="235"/>
      <c r="E108" s="232"/>
      <c r="F108" s="238"/>
    </row>
    <row r="109" spans="1:9" x14ac:dyDescent="0.25">
      <c r="A109" s="271" t="s">
        <v>277</v>
      </c>
      <c r="B109" s="270" t="s">
        <v>326</v>
      </c>
      <c r="C109" s="235"/>
      <c r="D109" s="235"/>
      <c r="E109" s="232"/>
      <c r="F109" s="238"/>
    </row>
    <row r="110" spans="1:9" x14ac:dyDescent="0.25">
      <c r="A110" s="269" t="s">
        <v>278</v>
      </c>
      <c r="B110" s="270" t="s">
        <v>326</v>
      </c>
      <c r="C110" s="235"/>
      <c r="D110" s="235"/>
      <c r="E110" s="232"/>
      <c r="F110" s="238"/>
    </row>
    <row r="111" spans="1:9" x14ac:dyDescent="0.25">
      <c r="A111" s="269" t="s">
        <v>279</v>
      </c>
      <c r="B111" s="234" t="s">
        <v>324</v>
      </c>
      <c r="C111" s="235"/>
      <c r="D111" s="235"/>
      <c r="E111" s="272">
        <f>3750*2</f>
        <v>7500</v>
      </c>
      <c r="F111" s="267" t="s">
        <v>287</v>
      </c>
    </row>
    <row r="112" spans="1:9" x14ac:dyDescent="0.25">
      <c r="A112" s="269"/>
      <c r="B112" s="270" t="s">
        <v>350</v>
      </c>
      <c r="C112" s="235"/>
      <c r="D112" s="235"/>
      <c r="E112" s="272">
        <f>(100+100+100+100)*2</f>
        <v>800</v>
      </c>
      <c r="F112" s="267" t="s">
        <v>287</v>
      </c>
    </row>
    <row r="113" spans="1:11" x14ac:dyDescent="0.25">
      <c r="A113" s="269" t="s">
        <v>282</v>
      </c>
      <c r="B113" s="336" t="s">
        <v>325</v>
      </c>
      <c r="C113" s="336"/>
      <c r="D113" s="336"/>
      <c r="E113" s="273">
        <f>3.75*3.912*2</f>
        <v>29.34</v>
      </c>
      <c r="F113" s="267" t="s">
        <v>28</v>
      </c>
      <c r="H113" s="288"/>
    </row>
    <row r="114" spans="1:11" x14ac:dyDescent="0.25">
      <c r="A114" s="235"/>
      <c r="B114" s="234"/>
      <c r="C114" s="235"/>
      <c r="D114" s="235"/>
      <c r="E114" s="232"/>
      <c r="F114" s="238"/>
    </row>
    <row r="115" spans="1:11" ht="20.399999999999999" x14ac:dyDescent="0.25">
      <c r="A115" s="142" t="s">
        <v>165</v>
      </c>
      <c r="B115" s="143" t="s">
        <v>227</v>
      </c>
      <c r="C115" s="142" t="s">
        <v>87</v>
      </c>
      <c r="D115" s="142" t="s">
        <v>164</v>
      </c>
      <c r="E115" s="142" t="s">
        <v>150</v>
      </c>
      <c r="F115" s="142" t="s">
        <v>151</v>
      </c>
    </row>
    <row r="116" spans="1:11" x14ac:dyDescent="0.25">
      <c r="A116" s="231">
        <v>88315</v>
      </c>
      <c r="B116" s="290" t="s">
        <v>153</v>
      </c>
      <c r="C116" s="231" t="s">
        <v>71</v>
      </c>
      <c r="D116" s="291">
        <f>(7.97/4.1656)*9.8916</f>
        <v>18.93</v>
      </c>
      <c r="E116" s="291">
        <v>18.98</v>
      </c>
      <c r="F116" s="292">
        <f t="shared" ref="F116:F118" si="9">E116*D116</f>
        <v>359.29</v>
      </c>
    </row>
    <row r="117" spans="1:11" x14ac:dyDescent="0.25">
      <c r="A117" s="231">
        <v>88316</v>
      </c>
      <c r="B117" s="290" t="s">
        <v>163</v>
      </c>
      <c r="C117" s="231" t="s">
        <v>71</v>
      </c>
      <c r="D117" s="291">
        <f>(7.97/4.1656)*0.1473</f>
        <v>0.28000000000000003</v>
      </c>
      <c r="E117" s="291">
        <v>13.66</v>
      </c>
      <c r="F117" s="292">
        <f t="shared" si="9"/>
        <v>3.82</v>
      </c>
    </row>
    <row r="118" spans="1:11" ht="21.6" x14ac:dyDescent="0.25">
      <c r="A118" s="231">
        <v>98746</v>
      </c>
      <c r="B118" s="290" t="s">
        <v>214</v>
      </c>
      <c r="C118" s="231" t="s">
        <v>87</v>
      </c>
      <c r="D118" s="298">
        <f>SUM(E126:E128)/1000</f>
        <v>3.0000000000000001E-3</v>
      </c>
      <c r="E118" s="291">
        <v>55.37</v>
      </c>
      <c r="F118" s="292">
        <f t="shared" si="9"/>
        <v>0.17</v>
      </c>
    </row>
    <row r="119" spans="1:11" ht="42.75" customHeight="1" x14ac:dyDescent="0.25">
      <c r="A119" s="231" t="s">
        <v>166</v>
      </c>
      <c r="B119" s="290" t="s">
        <v>228</v>
      </c>
      <c r="C119" s="231" t="s">
        <v>87</v>
      </c>
      <c r="D119" s="299">
        <f>E129</f>
        <v>1.97</v>
      </c>
      <c r="E119" s="300">
        <v>29.31</v>
      </c>
      <c r="F119" s="301">
        <f>E119*D119</f>
        <v>57.74</v>
      </c>
      <c r="H119" s="287"/>
      <c r="I119" s="287"/>
      <c r="J119" s="287"/>
      <c r="K119" s="287"/>
    </row>
    <row r="120" spans="1:11" ht="32.4" x14ac:dyDescent="0.25">
      <c r="A120" s="231">
        <v>7700</v>
      </c>
      <c r="B120" s="290" t="s">
        <v>229</v>
      </c>
      <c r="C120" s="231" t="s">
        <v>87</v>
      </c>
      <c r="D120" s="299">
        <f>E130</f>
        <v>6</v>
      </c>
      <c r="E120" s="300">
        <v>13.48</v>
      </c>
      <c r="F120" s="301">
        <f>E120*D120</f>
        <v>80.88</v>
      </c>
      <c r="H120" s="287"/>
      <c r="I120" s="287"/>
      <c r="J120" s="287"/>
      <c r="K120" s="287"/>
    </row>
    <row r="121" spans="1:11" x14ac:dyDescent="0.25">
      <c r="A121" s="235" t="s">
        <v>167</v>
      </c>
      <c r="B121" s="278"/>
      <c r="C121" s="279"/>
      <c r="D121" s="279"/>
      <c r="E121" s="302"/>
      <c r="F121" s="303">
        <f>SUM(F116:F120)</f>
        <v>501.9</v>
      </c>
    </row>
    <row r="122" spans="1:11" x14ac:dyDescent="0.25">
      <c r="A122" s="235"/>
      <c r="B122" s="278"/>
      <c r="C122" s="279"/>
      <c r="D122" s="279"/>
      <c r="E122" s="235"/>
      <c r="F122" s="280"/>
    </row>
    <row r="123" spans="1:11" x14ac:dyDescent="0.25">
      <c r="A123" s="262" t="s">
        <v>276</v>
      </c>
      <c r="B123" s="234"/>
      <c r="C123" s="235"/>
      <c r="D123" s="235"/>
      <c r="E123" s="232"/>
      <c r="F123" s="238"/>
    </row>
    <row r="124" spans="1:11" x14ac:dyDescent="0.25">
      <c r="A124" s="306" t="s">
        <v>277</v>
      </c>
      <c r="B124" s="307" t="s">
        <v>332</v>
      </c>
      <c r="C124" s="308"/>
      <c r="D124" s="308"/>
      <c r="E124" s="232"/>
      <c r="F124" s="238"/>
    </row>
    <row r="125" spans="1:11" x14ac:dyDescent="0.25">
      <c r="A125" s="309" t="s">
        <v>278</v>
      </c>
      <c r="B125" s="307" t="s">
        <v>333</v>
      </c>
      <c r="C125" s="308"/>
      <c r="D125" s="308"/>
      <c r="E125" s="232"/>
      <c r="F125" s="238"/>
      <c r="H125" s="282"/>
    </row>
    <row r="126" spans="1:11" ht="18" customHeight="1" x14ac:dyDescent="0.25">
      <c r="A126" s="309" t="s">
        <v>279</v>
      </c>
      <c r="B126" s="338" t="s">
        <v>358</v>
      </c>
      <c r="C126" s="338"/>
      <c r="D126" s="338"/>
      <c r="E126" s="281">
        <f>0.8773*23/25.95</f>
        <v>0.77759999999999996</v>
      </c>
      <c r="F126" s="267" t="s">
        <v>287</v>
      </c>
      <c r="G126" s="139">
        <f>2*3.14*(0.2794/2)</f>
        <v>0.87731599999999998</v>
      </c>
      <c r="H126" s="139">
        <f>2*3.14*(0.01905/2)</f>
        <v>5.9817000000000002E-2</v>
      </c>
    </row>
    <row r="127" spans="1:11" ht="21.6" customHeight="1" x14ac:dyDescent="0.25">
      <c r="A127" s="309"/>
      <c r="B127" s="339" t="s">
        <v>359</v>
      </c>
      <c r="C127" s="339"/>
      <c r="D127" s="339"/>
      <c r="E127" s="281">
        <f>0.8773*2*22/25.95</f>
        <v>1.4875</v>
      </c>
      <c r="F127" s="267" t="s">
        <v>287</v>
      </c>
    </row>
    <row r="128" spans="1:11" ht="24.6" customHeight="1" x14ac:dyDescent="0.25">
      <c r="A128" s="309"/>
      <c r="B128" s="339" t="s">
        <v>360</v>
      </c>
      <c r="C128" s="339"/>
      <c r="D128" s="339"/>
      <c r="E128" s="281">
        <f>0.0598*2*6*22/25.95</f>
        <v>0.60840000000000005</v>
      </c>
      <c r="F128" s="267" t="s">
        <v>287</v>
      </c>
    </row>
    <row r="129" spans="1:8" ht="15.75" customHeight="1" x14ac:dyDescent="0.25">
      <c r="A129" s="309" t="s">
        <v>330</v>
      </c>
      <c r="B129" s="307" t="s">
        <v>361</v>
      </c>
      <c r="C129" s="307"/>
      <c r="D129" s="307"/>
      <c r="E129" s="273">
        <f>(25.95+23*1.1)/25.95</f>
        <v>1.97</v>
      </c>
      <c r="F129" s="267" t="s">
        <v>3</v>
      </c>
    </row>
    <row r="130" spans="1:8" x14ac:dyDescent="0.25">
      <c r="A130" s="309" t="s">
        <v>331</v>
      </c>
      <c r="B130" s="338" t="s">
        <v>362</v>
      </c>
      <c r="C130" s="338"/>
      <c r="D130" s="338"/>
      <c r="E130" s="273">
        <v>6</v>
      </c>
      <c r="F130" s="267" t="s">
        <v>3</v>
      </c>
    </row>
    <row r="131" spans="1:8" ht="20.399999999999999" x14ac:dyDescent="0.25">
      <c r="A131" s="142" t="s">
        <v>178</v>
      </c>
      <c r="B131" s="143" t="s">
        <v>230</v>
      </c>
      <c r="C131" s="142" t="s">
        <v>87</v>
      </c>
      <c r="D131" s="142" t="s">
        <v>164</v>
      </c>
      <c r="E131" s="142" t="s">
        <v>150</v>
      </c>
      <c r="F131" s="142" t="s">
        <v>151</v>
      </c>
    </row>
    <row r="132" spans="1:8" x14ac:dyDescent="0.25">
      <c r="A132" s="231">
        <v>88315</v>
      </c>
      <c r="B132" s="290" t="s">
        <v>153</v>
      </c>
      <c r="C132" s="231" t="s">
        <v>71</v>
      </c>
      <c r="D132" s="291">
        <f>D116*1.1</f>
        <v>20.82</v>
      </c>
      <c r="E132" s="291">
        <v>18.98</v>
      </c>
      <c r="F132" s="292">
        <f t="shared" ref="F132:F134" si="10">E132*D132</f>
        <v>395.16</v>
      </c>
    </row>
    <row r="133" spans="1:8" x14ac:dyDescent="0.25">
      <c r="A133" s="231">
        <v>88316</v>
      </c>
      <c r="B133" s="290" t="s">
        <v>163</v>
      </c>
      <c r="C133" s="231" t="s">
        <v>71</v>
      </c>
      <c r="D133" s="291">
        <f>D117*1.1</f>
        <v>0.31</v>
      </c>
      <c r="E133" s="291">
        <v>13.66</v>
      </c>
      <c r="F133" s="292">
        <f t="shared" si="10"/>
        <v>4.2300000000000004</v>
      </c>
    </row>
    <row r="134" spans="1:8" ht="21.6" x14ac:dyDescent="0.25">
      <c r="A134" s="231">
        <v>98746</v>
      </c>
      <c r="B134" s="290" t="s">
        <v>214</v>
      </c>
      <c r="C134" s="231" t="s">
        <v>87</v>
      </c>
      <c r="D134" s="298">
        <f>SUM(E144:E145)/1000</f>
        <v>2E-3</v>
      </c>
      <c r="E134" s="291">
        <v>55.37</v>
      </c>
      <c r="F134" s="292">
        <f t="shared" si="10"/>
        <v>0.11</v>
      </c>
    </row>
    <row r="135" spans="1:8" ht="43.5" customHeight="1" x14ac:dyDescent="0.25">
      <c r="A135" s="231" t="s">
        <v>166</v>
      </c>
      <c r="B135" s="290" t="s">
        <v>231</v>
      </c>
      <c r="C135" s="231" t="s">
        <v>87</v>
      </c>
      <c r="D135" s="299">
        <f>E146</f>
        <v>1.98</v>
      </c>
      <c r="E135" s="300">
        <v>29.31</v>
      </c>
      <c r="F135" s="301">
        <f>E135*D135</f>
        <v>58.03</v>
      </c>
      <c r="H135" s="287"/>
    </row>
    <row r="136" spans="1:8" ht="32.4" x14ac:dyDescent="0.25">
      <c r="A136" s="231">
        <v>7700</v>
      </c>
      <c r="B136" s="290" t="s">
        <v>232</v>
      </c>
      <c r="C136" s="231" t="s">
        <v>87</v>
      </c>
      <c r="D136" s="299">
        <v>6</v>
      </c>
      <c r="E136" s="300">
        <v>13.48</v>
      </c>
      <c r="F136" s="301">
        <f>E136*D136</f>
        <v>80.88</v>
      </c>
      <c r="H136" s="287"/>
    </row>
    <row r="137" spans="1:8" ht="21.6" x14ac:dyDescent="0.25">
      <c r="A137" s="231">
        <v>1330</v>
      </c>
      <c r="B137" s="290" t="s">
        <v>233</v>
      </c>
      <c r="C137" s="231" t="s">
        <v>155</v>
      </c>
      <c r="D137" s="291">
        <f>E148</f>
        <v>1</v>
      </c>
      <c r="E137" s="291">
        <v>5.33</v>
      </c>
      <c r="F137" s="292">
        <f t="shared" ref="F137" si="11">E137*D137</f>
        <v>5.33</v>
      </c>
    </row>
    <row r="138" spans="1:8" x14ac:dyDescent="0.25">
      <c r="A138" s="231" t="s">
        <v>74</v>
      </c>
      <c r="B138" s="290" t="s">
        <v>346</v>
      </c>
      <c r="C138" s="231" t="s">
        <v>77</v>
      </c>
      <c r="D138" s="291">
        <f>E149</f>
        <v>3.41</v>
      </c>
      <c r="E138" s="291">
        <v>15.66</v>
      </c>
      <c r="F138" s="292">
        <f t="shared" ref="F138" si="12">E138*D138</f>
        <v>53.4</v>
      </c>
    </row>
    <row r="139" spans="1:8" x14ac:dyDescent="0.25">
      <c r="A139" s="235" t="s">
        <v>167</v>
      </c>
      <c r="B139" s="278"/>
      <c r="C139" s="279"/>
      <c r="D139" s="279"/>
      <c r="E139" s="302"/>
      <c r="F139" s="303">
        <f>SUM(F132:F138)</f>
        <v>597.14</v>
      </c>
    </row>
    <row r="140" spans="1:8" x14ac:dyDescent="0.25">
      <c r="A140" s="235"/>
      <c r="B140" s="278"/>
      <c r="C140" s="279"/>
      <c r="D140" s="279"/>
      <c r="E140" s="235"/>
      <c r="F140" s="280"/>
    </row>
    <row r="141" spans="1:8" x14ac:dyDescent="0.25">
      <c r="A141" s="262" t="s">
        <v>276</v>
      </c>
      <c r="B141" s="234"/>
      <c r="C141" s="235"/>
      <c r="D141" s="235"/>
      <c r="E141" s="232"/>
      <c r="F141" s="238"/>
    </row>
    <row r="142" spans="1:8" x14ac:dyDescent="0.25">
      <c r="A142" s="271" t="s">
        <v>277</v>
      </c>
      <c r="B142" s="270" t="s">
        <v>337</v>
      </c>
      <c r="C142" s="235"/>
      <c r="D142" s="235"/>
      <c r="E142" s="232"/>
      <c r="F142" s="238"/>
    </row>
    <row r="143" spans="1:8" x14ac:dyDescent="0.25">
      <c r="A143" s="269" t="s">
        <v>278</v>
      </c>
      <c r="B143" s="270" t="s">
        <v>338</v>
      </c>
      <c r="C143" s="235"/>
      <c r="D143" s="235"/>
      <c r="E143" s="232"/>
      <c r="F143" s="238"/>
    </row>
    <row r="144" spans="1:8" ht="22.2" customHeight="1" x14ac:dyDescent="0.25">
      <c r="A144" s="269" t="s">
        <v>279</v>
      </c>
      <c r="B144" s="336" t="s">
        <v>363</v>
      </c>
      <c r="C144" s="336"/>
      <c r="D144" s="336"/>
      <c r="E144" s="281">
        <f>0.8773*2*23/27</f>
        <v>1.4946999999999999</v>
      </c>
      <c r="F144" s="267" t="s">
        <v>287</v>
      </c>
    </row>
    <row r="145" spans="1:6" ht="21.6" customHeight="1" x14ac:dyDescent="0.25">
      <c r="A145" s="269"/>
      <c r="B145" s="336" t="s">
        <v>364</v>
      </c>
      <c r="C145" s="336"/>
      <c r="D145" s="336"/>
      <c r="E145" s="281">
        <f>0.0598*2*6*23/27</f>
        <v>0.61129999999999995</v>
      </c>
      <c r="F145" s="267" t="s">
        <v>287</v>
      </c>
    </row>
    <row r="146" spans="1:6" x14ac:dyDescent="0.25">
      <c r="A146" s="269" t="s">
        <v>330</v>
      </c>
      <c r="B146" s="270" t="s">
        <v>335</v>
      </c>
      <c r="C146" s="270"/>
      <c r="D146" s="270"/>
      <c r="E146" s="273">
        <f>(27+24*1.1)/27</f>
        <v>1.98</v>
      </c>
      <c r="F146" s="267" t="s">
        <v>3</v>
      </c>
    </row>
    <row r="147" spans="1:6" x14ac:dyDescent="0.25">
      <c r="A147" s="269" t="s">
        <v>331</v>
      </c>
      <c r="B147" s="337" t="s">
        <v>334</v>
      </c>
      <c r="C147" s="337"/>
      <c r="D147" s="337"/>
      <c r="E147" s="273">
        <v>6</v>
      </c>
      <c r="F147" s="267" t="s">
        <v>3</v>
      </c>
    </row>
    <row r="148" spans="1:6" x14ac:dyDescent="0.25">
      <c r="A148" s="269" t="s">
        <v>281</v>
      </c>
      <c r="B148" s="337" t="s">
        <v>340</v>
      </c>
      <c r="C148" s="337"/>
      <c r="D148" s="337"/>
      <c r="E148" s="273">
        <f>0.15*0.15*49.79*24/27</f>
        <v>1</v>
      </c>
      <c r="F148" s="267" t="s">
        <v>28</v>
      </c>
    </row>
    <row r="149" spans="1:6" x14ac:dyDescent="0.25">
      <c r="A149" s="269" t="s">
        <v>294</v>
      </c>
      <c r="B149" s="337" t="s">
        <v>336</v>
      </c>
      <c r="C149" s="337"/>
      <c r="D149" s="337"/>
      <c r="E149" s="273">
        <f>4*23/27</f>
        <v>3.41</v>
      </c>
      <c r="F149" s="267" t="s">
        <v>296</v>
      </c>
    </row>
    <row r="150" spans="1:6" x14ac:dyDescent="0.25">
      <c r="A150" s="235"/>
      <c r="B150" s="278"/>
      <c r="C150" s="279"/>
      <c r="D150" s="279"/>
      <c r="E150" s="235"/>
      <c r="F150" s="280"/>
    </row>
    <row r="151" spans="1:6" x14ac:dyDescent="0.25">
      <c r="A151" s="142" t="s">
        <v>179</v>
      </c>
      <c r="B151" s="143" t="s">
        <v>205</v>
      </c>
      <c r="C151" s="142" t="s">
        <v>77</v>
      </c>
      <c r="D151" s="142" t="s">
        <v>164</v>
      </c>
      <c r="E151" s="142" t="s">
        <v>150</v>
      </c>
      <c r="F151" s="142" t="s">
        <v>151</v>
      </c>
    </row>
    <row r="152" spans="1:6" ht="21.6" x14ac:dyDescent="0.25">
      <c r="A152" s="231">
        <v>90778</v>
      </c>
      <c r="B152" s="290" t="s">
        <v>70</v>
      </c>
      <c r="C152" s="231" t="s">
        <v>71</v>
      </c>
      <c r="D152" s="299">
        <v>40</v>
      </c>
      <c r="E152" s="300">
        <v>83.55</v>
      </c>
      <c r="F152" s="301">
        <f>E152*D152</f>
        <v>3342</v>
      </c>
    </row>
    <row r="153" spans="1:6" ht="21.6" x14ac:dyDescent="0.25">
      <c r="A153" s="231">
        <v>90776</v>
      </c>
      <c r="B153" s="290" t="s">
        <v>239</v>
      </c>
      <c r="C153" s="231" t="s">
        <v>71</v>
      </c>
      <c r="D153" s="299">
        <v>80</v>
      </c>
      <c r="E153" s="300">
        <v>24.37</v>
      </c>
      <c r="F153" s="301">
        <f>E153*D153</f>
        <v>1949.6</v>
      </c>
    </row>
    <row r="154" spans="1:6" x14ac:dyDescent="0.25">
      <c r="A154" s="235"/>
      <c r="B154" s="278"/>
      <c r="C154" s="279"/>
      <c r="D154" s="279"/>
      <c r="E154" s="283"/>
      <c r="F154" s="284">
        <f>SUM(F152:F153)</f>
        <v>5291.6</v>
      </c>
    </row>
    <row r="155" spans="1:6" ht="9.6" customHeight="1" x14ac:dyDescent="0.25">
      <c r="A155" s="235"/>
      <c r="B155" s="278"/>
      <c r="C155" s="279"/>
      <c r="D155" s="279"/>
      <c r="E155" s="235"/>
      <c r="F155" s="280"/>
    </row>
    <row r="156" spans="1:6" x14ac:dyDescent="0.25">
      <c r="A156" s="269"/>
      <c r="B156" s="270"/>
      <c r="C156" s="235"/>
      <c r="D156" s="235"/>
      <c r="E156" s="232"/>
      <c r="F156" s="238"/>
    </row>
    <row r="157" spans="1:6" ht="6" customHeight="1" x14ac:dyDescent="0.25">
      <c r="A157" s="279"/>
      <c r="B157" s="278"/>
      <c r="C157" s="279"/>
      <c r="D157" s="279"/>
      <c r="E157" s="279"/>
      <c r="F157" s="279"/>
    </row>
    <row r="158" spans="1:6" ht="12.75" customHeight="1" x14ac:dyDescent="0.25">
      <c r="A158" s="279"/>
      <c r="B158" s="285" t="s">
        <v>182</v>
      </c>
      <c r="C158" s="279"/>
      <c r="D158" s="279"/>
      <c r="E158" s="279"/>
      <c r="F158" s="279"/>
    </row>
    <row r="159" spans="1:6" x14ac:dyDescent="0.25">
      <c r="A159" s="279"/>
      <c r="B159" s="286" t="s">
        <v>183</v>
      </c>
      <c r="C159" s="279"/>
      <c r="D159" s="279"/>
      <c r="E159" s="279"/>
      <c r="F159" s="279"/>
    </row>
  </sheetData>
  <autoFilter ref="A1:A159" xr:uid="{21785C39-3DAD-4250-9B4E-09B047E979BE}"/>
  <mergeCells count="27">
    <mergeCell ref="B130:D130"/>
    <mergeCell ref="B147:D147"/>
    <mergeCell ref="B148:D148"/>
    <mergeCell ref="B149:D149"/>
    <mergeCell ref="B95:D95"/>
    <mergeCell ref="B96:D96"/>
    <mergeCell ref="B113:D113"/>
    <mergeCell ref="B127:D127"/>
    <mergeCell ref="B126:D126"/>
    <mergeCell ref="B128:D128"/>
    <mergeCell ref="B144:D144"/>
    <mergeCell ref="B145:D145"/>
    <mergeCell ref="B75:D75"/>
    <mergeCell ref="B76:D76"/>
    <mergeCell ref="B77:D77"/>
    <mergeCell ref="B74:D74"/>
    <mergeCell ref="B73:D73"/>
    <mergeCell ref="A1:F1"/>
    <mergeCell ref="B47:D47"/>
    <mergeCell ref="B48:D48"/>
    <mergeCell ref="B49:D49"/>
    <mergeCell ref="B50:D50"/>
    <mergeCell ref="B42:D42"/>
    <mergeCell ref="B43:D43"/>
    <mergeCell ref="B44:D44"/>
    <mergeCell ref="B45:D45"/>
    <mergeCell ref="B46:D46"/>
  </mergeCells>
  <conditionalFormatting sqref="F33:F35">
    <cfRule type="expression" dxfId="206" priority="393" stopIfTrue="1">
      <formula>AND(#REF!&lt;&gt;"COMPOSICAO",#REF!&lt;&gt;"INSUMO",#REF!&lt;&gt;"")</formula>
    </cfRule>
    <cfRule type="expression" dxfId="205" priority="394" stopIfTrue="1">
      <formula>AND(OR(#REF!="COMPOSICAO",#REF!="INSUMO",#REF!&lt;&gt;""),#REF!&lt;&gt;"")</formula>
    </cfRule>
  </conditionalFormatting>
  <conditionalFormatting sqref="A119:D120 F119:F120 A33:B34 C32:C34 A35:D35 D33:D34">
    <cfRule type="expression" dxfId="204" priority="391" stopIfTrue="1">
      <formula>AND(#REF!&lt;&gt;"COMPOSICAO",#REF!&lt;&gt;"INSUMO",#REF!&lt;&gt;"")</formula>
    </cfRule>
    <cfRule type="expression" dxfId="203" priority="392" stopIfTrue="1">
      <formula>AND(OR(#REF!="COMPOSICAO",#REF!="INSUMO",#REF!&lt;&gt;""),#REF!&lt;&gt;"")</formula>
    </cfRule>
  </conditionalFormatting>
  <conditionalFormatting sqref="A115:C115">
    <cfRule type="expression" dxfId="202" priority="387" stopIfTrue="1">
      <formula>AND(#REF!&lt;&gt;"COMPOSICAO",#REF!&lt;&gt;"INSUMO",#REF!&lt;&gt;"")</formula>
    </cfRule>
    <cfRule type="expression" dxfId="201" priority="388" stopIfTrue="1">
      <formula>AND(OR(#REF!="COMPOSICAO",#REF!="INSUMO",#REF!&lt;&gt;""),#REF!&lt;&gt;"")</formula>
    </cfRule>
  </conditionalFormatting>
  <conditionalFormatting sqref="E115:F115">
    <cfRule type="expression" dxfId="200" priority="385" stopIfTrue="1">
      <formula>AND(#REF!&lt;&gt;"COMPOSICAO",#REF!&lt;&gt;"INSUMO",#REF!&lt;&gt;"")</formula>
    </cfRule>
    <cfRule type="expression" dxfId="199" priority="386" stopIfTrue="1">
      <formula>AND(OR(#REF!="COMPOSICAO",#REF!="INSUMO",#REF!&lt;&gt;""),#REF!&lt;&gt;"")</formula>
    </cfRule>
  </conditionalFormatting>
  <conditionalFormatting sqref="D115">
    <cfRule type="expression" dxfId="198" priority="383" stopIfTrue="1">
      <formula>AND(#REF!&lt;&gt;"COMPOSICAO",#REF!&lt;&gt;"INSUMO",#REF!&lt;&gt;"")</formula>
    </cfRule>
    <cfRule type="expression" dxfId="197" priority="384" stopIfTrue="1">
      <formula>AND(OR(#REF!="COMPOSICAO",#REF!="INSUMO",#REF!&lt;&gt;""),#REF!&lt;&gt;"")</formula>
    </cfRule>
  </conditionalFormatting>
  <conditionalFormatting sqref="E119:E120">
    <cfRule type="expression" dxfId="196" priority="389" stopIfTrue="1">
      <formula>AND(#REF!&lt;&gt;"COMPOSICAO",#REF!&lt;&gt;"INSUMO",#REF!&lt;&gt;"")</formula>
    </cfRule>
    <cfRule type="expression" dxfId="195" priority="390" stopIfTrue="1">
      <formula>AND(OR(#REF!="COMPOSICAO",#REF!="INSUMO",#REF!&lt;&gt;""),#REF!&lt;&gt;"")</formula>
    </cfRule>
  </conditionalFormatting>
  <conditionalFormatting sqref="A152:D153 F152:F153 E40:F40 F41:F43 E11:F27 E44:F46 F47:F50 E90:F99 E111:F112 E144:F145 A7:B8 C6:C8 F7:F10 E156:F156">
    <cfRule type="expression" dxfId="194" priority="323" stopIfTrue="1">
      <formula>AND(#REF!&lt;&gt;"COMPOSICAO",#REF!&lt;&gt;"INSUMO",#REF!&lt;&gt;"")</formula>
    </cfRule>
    <cfRule type="expression" dxfId="193" priority="324" stopIfTrue="1">
      <formula>AND(OR(#REF!="COMPOSICAO",#REF!="INSUMO",#REF!&lt;&gt;""),#REF!&lt;&gt;"")</formula>
    </cfRule>
  </conditionalFormatting>
  <conditionalFormatting sqref="A151:C151">
    <cfRule type="expression" dxfId="192" priority="319" stopIfTrue="1">
      <formula>AND(#REF!&lt;&gt;"COMPOSICAO",#REF!&lt;&gt;"INSUMO",#REF!&lt;&gt;"")</formula>
    </cfRule>
    <cfRule type="expression" dxfId="191" priority="320" stopIfTrue="1">
      <formula>AND(OR(#REF!="COMPOSICAO",#REF!="INSUMO",#REF!&lt;&gt;""),#REF!&lt;&gt;"")</formula>
    </cfRule>
  </conditionalFormatting>
  <conditionalFormatting sqref="E151:F151">
    <cfRule type="expression" dxfId="190" priority="317" stopIfTrue="1">
      <formula>AND(#REF!&lt;&gt;"COMPOSICAO",#REF!&lt;&gt;"INSUMO",#REF!&lt;&gt;"")</formula>
    </cfRule>
    <cfRule type="expression" dxfId="189" priority="318" stopIfTrue="1">
      <formula>AND(OR(#REF!="COMPOSICAO",#REF!="INSUMO",#REF!&lt;&gt;""),#REF!&lt;&gt;"")</formula>
    </cfRule>
  </conditionalFormatting>
  <conditionalFormatting sqref="D151">
    <cfRule type="expression" dxfId="188" priority="315" stopIfTrue="1">
      <formula>AND(#REF!&lt;&gt;"COMPOSICAO",#REF!&lt;&gt;"INSUMO",#REF!&lt;&gt;"")</formula>
    </cfRule>
    <cfRule type="expression" dxfId="187" priority="316" stopIfTrue="1">
      <formula>AND(OR(#REF!="COMPOSICAO",#REF!="INSUMO",#REF!&lt;&gt;""),#REF!&lt;&gt;"")</formula>
    </cfRule>
  </conditionalFormatting>
  <conditionalFormatting sqref="E152:E153">
    <cfRule type="expression" dxfId="186" priority="321" stopIfTrue="1">
      <formula>AND(#REF!&lt;&gt;"COMPOSICAO",#REF!&lt;&gt;"INSUMO",#REF!&lt;&gt;"")</formula>
    </cfRule>
    <cfRule type="expression" dxfId="185" priority="322" stopIfTrue="1">
      <formula>AND(OR(#REF!="COMPOSICAO",#REF!="INSUMO",#REF!&lt;&gt;""),#REF!&lt;&gt;"")</formula>
    </cfRule>
  </conditionalFormatting>
  <conditionalFormatting sqref="A2:C2 A3:D3">
    <cfRule type="expression" dxfId="184" priority="281" stopIfTrue="1">
      <formula>AND(#REF!&lt;&gt;"COMPOSICAO",#REF!&lt;&gt;"INSUMO",#REF!&lt;&gt;"")</formula>
    </cfRule>
    <cfRule type="expression" dxfId="183" priority="282" stopIfTrue="1">
      <formula>AND(OR(#REF!="COMPOSICAO",#REF!="INSUMO",#REF!&lt;&gt;""),#REF!&lt;&gt;"")</formula>
    </cfRule>
  </conditionalFormatting>
  <conditionalFormatting sqref="D2:F2">
    <cfRule type="expression" dxfId="182" priority="277" stopIfTrue="1">
      <formula>AND(#REF!&lt;&gt;"COMPOSICAO",#REF!&lt;&gt;"INSUMO",#REF!&lt;&gt;"")</formula>
    </cfRule>
    <cfRule type="expression" dxfId="181" priority="278" stopIfTrue="1">
      <formula>AND(OR(#REF!="COMPOSICAO",#REF!="INSUMO",#REF!&lt;&gt;""),#REF!&lt;&gt;"")</formula>
    </cfRule>
  </conditionalFormatting>
  <conditionalFormatting sqref="E3 E29 E54 E81 E102 E116 E132">
    <cfRule type="expression" dxfId="180" priority="275" stopIfTrue="1">
      <formula>AND(#REF!&lt;&gt;"COMPOSICAO",#REF!&lt;&gt;"INSUMO",#REF!&lt;&gt;"")</formula>
    </cfRule>
    <cfRule type="expression" dxfId="179" priority="276" stopIfTrue="1">
      <formula>AND(OR(#REF!="COMPOSICAO",#REF!="INSUMO",#REF!&lt;&gt;""),#REF!&lt;&gt;"")</formula>
    </cfRule>
  </conditionalFormatting>
  <conditionalFormatting sqref="F3:F4">
    <cfRule type="expression" dxfId="178" priority="273" stopIfTrue="1">
      <formula>AND(#REF!&lt;&gt;"COMPOSICAO",#REF!&lt;&gt;"INSUMO",#REF!&lt;&gt;"")</formula>
    </cfRule>
    <cfRule type="expression" dxfId="177" priority="274" stopIfTrue="1">
      <formula>AND(OR(#REF!="COMPOSICAO",#REF!="INSUMO",#REF!&lt;&gt;""),#REF!&lt;&gt;"")</formula>
    </cfRule>
  </conditionalFormatting>
  <conditionalFormatting sqref="A4:E4 D7:E8 E30 E55 E82 E103 E117 E133 E33:E35 E58:E60 E137 A9:E10">
    <cfRule type="expression" dxfId="176" priority="271" stopIfTrue="1">
      <formula>AND(#REF!&lt;&gt;"COMPOSICAO",#REF!&lt;&gt;"INSUMO",#REF!&lt;&gt;"")</formula>
    </cfRule>
    <cfRule type="expression" dxfId="175" priority="272" stopIfTrue="1">
      <formula>AND(OR(#REF!="COMPOSICAO",#REF!="INSUMO",#REF!&lt;&gt;""),#REF!&lt;&gt;"")</formula>
    </cfRule>
  </conditionalFormatting>
  <conditionalFormatting sqref="F6">
    <cfRule type="expression" dxfId="174" priority="263" stopIfTrue="1">
      <formula>AND(#REF!&lt;&gt;"COMPOSICAO",#REF!&lt;&gt;"INSUMO",#REF!&lt;&gt;"")</formula>
    </cfRule>
    <cfRule type="expression" dxfId="173" priority="264" stopIfTrue="1">
      <formula>AND(OR(#REF!="COMPOSICAO",#REF!="INSUMO",#REF!&lt;&gt;""),#REF!&lt;&gt;"")</formula>
    </cfRule>
  </conditionalFormatting>
  <conditionalFormatting sqref="A6:B6 D6:E6 E105 E32 E57 E84">
    <cfRule type="expression" dxfId="172" priority="261" stopIfTrue="1">
      <formula>AND(#REF!&lt;&gt;"COMPOSICAO",#REF!&lt;&gt;"INSUMO",#REF!&lt;&gt;"")</formula>
    </cfRule>
    <cfRule type="expression" dxfId="171" priority="262" stopIfTrue="1">
      <formula>AND(OR(#REF!="COMPOSICAO",#REF!="INSUMO",#REF!&lt;&gt;""),#REF!&lt;&gt;"")</formula>
    </cfRule>
  </conditionalFormatting>
  <conditionalFormatting sqref="A5:D5">
    <cfRule type="expression" dxfId="170" priority="259" stopIfTrue="1">
      <formula>AND(#REF!&lt;&gt;"COMPOSICAO",#REF!&lt;&gt;"INSUMO",#REF!&lt;&gt;"")</formula>
    </cfRule>
    <cfRule type="expression" dxfId="169" priority="260" stopIfTrue="1">
      <formula>AND(OR(#REF!="COMPOSICAO",#REF!="INSUMO",#REF!&lt;&gt;""),#REF!&lt;&gt;"")</formula>
    </cfRule>
  </conditionalFormatting>
  <conditionalFormatting sqref="F5">
    <cfRule type="expression" dxfId="168" priority="257" stopIfTrue="1">
      <formula>AND(#REF!&lt;&gt;"COMPOSICAO",#REF!&lt;&gt;"INSUMO",#REF!&lt;&gt;"")</formula>
    </cfRule>
    <cfRule type="expression" dxfId="167" priority="258" stopIfTrue="1">
      <formula>AND(OR(#REF!="COMPOSICAO",#REF!="INSUMO",#REF!&lt;&gt;""),#REF!&lt;&gt;"")</formula>
    </cfRule>
  </conditionalFormatting>
  <conditionalFormatting sqref="E5 E31 E56 E83 E104 E118 E134">
    <cfRule type="expression" dxfId="166" priority="255" stopIfTrue="1">
      <formula>AND(#REF!&lt;&gt;"COMPOSICAO",#REF!&lt;&gt;"INSUMO",#REF!&lt;&gt;"")</formula>
    </cfRule>
    <cfRule type="expression" dxfId="165" priority="256" stopIfTrue="1">
      <formula>AND(OR(#REF!="COMPOSICAO",#REF!="INSUMO",#REF!&lt;&gt;""),#REF!&lt;&gt;"")</formula>
    </cfRule>
  </conditionalFormatting>
  <conditionalFormatting sqref="A28:C28 A29:D29">
    <cfRule type="expression" dxfId="164" priority="207" stopIfTrue="1">
      <formula>AND(#REF!&lt;&gt;"COMPOSICAO",#REF!&lt;&gt;"INSUMO",#REF!&lt;&gt;"")</formula>
    </cfRule>
    <cfRule type="expression" dxfId="163" priority="208" stopIfTrue="1">
      <formula>AND(OR(#REF!="COMPOSICAO",#REF!="INSUMO",#REF!&lt;&gt;""),#REF!&lt;&gt;"")</formula>
    </cfRule>
  </conditionalFormatting>
  <conditionalFormatting sqref="E38:F39 E52:F52">
    <cfRule type="expression" dxfId="162" priority="205" stopIfTrue="1">
      <formula>AND(#REF!&lt;&gt;"COMPOSICAO",#REF!&lt;&gt;"INSUMO",#REF!&lt;&gt;"")</formula>
    </cfRule>
    <cfRule type="expression" dxfId="161" priority="206" stopIfTrue="1">
      <formula>AND(OR(#REF!="COMPOSICAO",#REF!="INSUMO",#REF!&lt;&gt;""),#REF!&lt;&gt;"")</formula>
    </cfRule>
  </conditionalFormatting>
  <conditionalFormatting sqref="D28:F28">
    <cfRule type="expression" dxfId="160" priority="203" stopIfTrue="1">
      <formula>AND(#REF!&lt;&gt;"COMPOSICAO",#REF!&lt;&gt;"INSUMO",#REF!&lt;&gt;"")</formula>
    </cfRule>
    <cfRule type="expression" dxfId="159" priority="204" stopIfTrue="1">
      <formula>AND(OR(#REF!="COMPOSICAO",#REF!="INSUMO",#REF!&lt;&gt;""),#REF!&lt;&gt;"")</formula>
    </cfRule>
  </conditionalFormatting>
  <conditionalFormatting sqref="F29:F30">
    <cfRule type="expression" dxfId="158" priority="199" stopIfTrue="1">
      <formula>AND(#REF!&lt;&gt;"COMPOSICAO",#REF!&lt;&gt;"INSUMO",#REF!&lt;&gt;"")</formula>
    </cfRule>
    <cfRule type="expression" dxfId="157" priority="200" stopIfTrue="1">
      <formula>AND(OR(#REF!="COMPOSICAO",#REF!="INSUMO",#REF!&lt;&gt;""),#REF!&lt;&gt;"")</formula>
    </cfRule>
  </conditionalFormatting>
  <conditionalFormatting sqref="A30:D30">
    <cfRule type="expression" dxfId="156" priority="197" stopIfTrue="1">
      <formula>AND(#REF!&lt;&gt;"COMPOSICAO",#REF!&lt;&gt;"INSUMO",#REF!&lt;&gt;"")</formula>
    </cfRule>
    <cfRule type="expression" dxfId="155" priority="198" stopIfTrue="1">
      <formula>AND(OR(#REF!="COMPOSICAO",#REF!="INSUMO",#REF!&lt;&gt;""),#REF!&lt;&gt;"")</formula>
    </cfRule>
  </conditionalFormatting>
  <conditionalFormatting sqref="F32">
    <cfRule type="expression" dxfId="154" priority="195" stopIfTrue="1">
      <formula>AND(#REF!&lt;&gt;"COMPOSICAO",#REF!&lt;&gt;"INSUMO",#REF!&lt;&gt;"")</formula>
    </cfRule>
    <cfRule type="expression" dxfId="153" priority="196" stopIfTrue="1">
      <formula>AND(OR(#REF!="COMPOSICAO",#REF!="INSUMO",#REF!&lt;&gt;""),#REF!&lt;&gt;"")</formula>
    </cfRule>
  </conditionalFormatting>
  <conditionalFormatting sqref="A32:B32 D32">
    <cfRule type="expression" dxfId="152" priority="193" stopIfTrue="1">
      <formula>AND(#REF!&lt;&gt;"COMPOSICAO",#REF!&lt;&gt;"INSUMO",#REF!&lt;&gt;"")</formula>
    </cfRule>
    <cfRule type="expression" dxfId="151" priority="194" stopIfTrue="1">
      <formula>AND(OR(#REF!="COMPOSICAO",#REF!="INSUMO",#REF!&lt;&gt;""),#REF!&lt;&gt;"")</formula>
    </cfRule>
  </conditionalFormatting>
  <conditionalFormatting sqref="A31:D31">
    <cfRule type="expression" dxfId="150" priority="191" stopIfTrue="1">
      <formula>AND(#REF!&lt;&gt;"COMPOSICAO",#REF!&lt;&gt;"INSUMO",#REF!&lt;&gt;"")</formula>
    </cfRule>
    <cfRule type="expression" dxfId="149" priority="192" stopIfTrue="1">
      <formula>AND(OR(#REF!="COMPOSICAO",#REF!="INSUMO",#REF!&lt;&gt;""),#REF!&lt;&gt;"")</formula>
    </cfRule>
  </conditionalFormatting>
  <conditionalFormatting sqref="F31">
    <cfRule type="expression" dxfId="148" priority="189" stopIfTrue="1">
      <formula>AND(#REF!&lt;&gt;"COMPOSICAO",#REF!&lt;&gt;"INSUMO",#REF!&lt;&gt;"")</formula>
    </cfRule>
    <cfRule type="expression" dxfId="147" priority="190" stopIfTrue="1">
      <formula>AND(OR(#REF!="COMPOSICAO",#REF!="INSUMO",#REF!&lt;&gt;""),#REF!&lt;&gt;"")</formula>
    </cfRule>
  </conditionalFormatting>
  <conditionalFormatting sqref="F58:F60">
    <cfRule type="expression" dxfId="146" priority="183" stopIfTrue="1">
      <formula>AND(#REF!&lt;&gt;"COMPOSICAO",#REF!&lt;&gt;"INSUMO",#REF!&lt;&gt;"")</formula>
    </cfRule>
    <cfRule type="expression" dxfId="145" priority="184" stopIfTrue="1">
      <formula>AND(OR(#REF!="COMPOSICAO",#REF!="INSUMO",#REF!&lt;&gt;""),#REF!&lt;&gt;"")</formula>
    </cfRule>
  </conditionalFormatting>
  <conditionalFormatting sqref="C57 A58:D60">
    <cfRule type="expression" dxfId="144" priority="181" stopIfTrue="1">
      <formula>AND(#REF!&lt;&gt;"COMPOSICAO",#REF!&lt;&gt;"INSUMO",#REF!&lt;&gt;"")</formula>
    </cfRule>
    <cfRule type="expression" dxfId="143" priority="182" stopIfTrue="1">
      <formula>AND(OR(#REF!="COMPOSICAO",#REF!="INSUMO",#REF!&lt;&gt;""),#REF!&lt;&gt;"")</formula>
    </cfRule>
  </conditionalFormatting>
  <conditionalFormatting sqref="A53:C53 A54:D54">
    <cfRule type="expression" dxfId="142" priority="179" stopIfTrue="1">
      <formula>AND(#REF!&lt;&gt;"COMPOSICAO",#REF!&lt;&gt;"INSUMO",#REF!&lt;&gt;"")</formula>
    </cfRule>
    <cfRule type="expression" dxfId="141" priority="180" stopIfTrue="1">
      <formula>AND(OR(#REF!="COMPOSICAO",#REF!="INSUMO",#REF!&lt;&gt;""),#REF!&lt;&gt;"")</formula>
    </cfRule>
  </conditionalFormatting>
  <conditionalFormatting sqref="E63:F63">
    <cfRule type="expression" dxfId="140" priority="177" stopIfTrue="1">
      <formula>AND(#REF!&lt;&gt;"COMPOSICAO",#REF!&lt;&gt;"INSUMO",#REF!&lt;&gt;"")</formula>
    </cfRule>
    <cfRule type="expression" dxfId="139" priority="178" stopIfTrue="1">
      <formula>AND(OR(#REF!="COMPOSICAO",#REF!="INSUMO",#REF!&lt;&gt;""),#REF!&lt;&gt;"")</formula>
    </cfRule>
  </conditionalFormatting>
  <conditionalFormatting sqref="D53:F53">
    <cfRule type="expression" dxfId="138" priority="175" stopIfTrue="1">
      <formula>AND(#REF!&lt;&gt;"COMPOSICAO",#REF!&lt;&gt;"INSUMO",#REF!&lt;&gt;"")</formula>
    </cfRule>
    <cfRule type="expression" dxfId="137" priority="176" stopIfTrue="1">
      <formula>AND(OR(#REF!="COMPOSICAO",#REF!="INSUMO",#REF!&lt;&gt;""),#REF!&lt;&gt;"")</formula>
    </cfRule>
  </conditionalFormatting>
  <conditionalFormatting sqref="F54:F55">
    <cfRule type="expression" dxfId="136" priority="171" stopIfTrue="1">
      <formula>AND(#REF!&lt;&gt;"COMPOSICAO",#REF!&lt;&gt;"INSUMO",#REF!&lt;&gt;"")</formula>
    </cfRule>
    <cfRule type="expression" dxfId="135" priority="172" stopIfTrue="1">
      <formula>AND(OR(#REF!="COMPOSICAO",#REF!="INSUMO",#REF!&lt;&gt;""),#REF!&lt;&gt;"")</formula>
    </cfRule>
  </conditionalFormatting>
  <conditionalFormatting sqref="A55:D55">
    <cfRule type="expression" dxfId="134" priority="169" stopIfTrue="1">
      <formula>AND(#REF!&lt;&gt;"COMPOSICAO",#REF!&lt;&gt;"INSUMO",#REF!&lt;&gt;"")</formula>
    </cfRule>
    <cfRule type="expression" dxfId="133" priority="170" stopIfTrue="1">
      <formula>AND(OR(#REF!="COMPOSICAO",#REF!="INSUMO",#REF!&lt;&gt;""),#REF!&lt;&gt;"")</formula>
    </cfRule>
  </conditionalFormatting>
  <conditionalFormatting sqref="F57">
    <cfRule type="expression" dxfId="132" priority="167" stopIfTrue="1">
      <formula>AND(#REF!&lt;&gt;"COMPOSICAO",#REF!&lt;&gt;"INSUMO",#REF!&lt;&gt;"")</formula>
    </cfRule>
    <cfRule type="expression" dxfId="131" priority="168" stopIfTrue="1">
      <formula>AND(OR(#REF!="COMPOSICAO",#REF!="INSUMO",#REF!&lt;&gt;""),#REF!&lt;&gt;"")</formula>
    </cfRule>
  </conditionalFormatting>
  <conditionalFormatting sqref="D57 A57:B57">
    <cfRule type="expression" dxfId="130" priority="165" stopIfTrue="1">
      <formula>AND(#REF!&lt;&gt;"COMPOSICAO",#REF!&lt;&gt;"INSUMO",#REF!&lt;&gt;"")</formula>
    </cfRule>
    <cfRule type="expression" dxfId="129" priority="166" stopIfTrue="1">
      <formula>AND(OR(#REF!="COMPOSICAO",#REF!="INSUMO",#REF!&lt;&gt;""),#REF!&lt;&gt;"")</formula>
    </cfRule>
  </conditionalFormatting>
  <conditionalFormatting sqref="A56:C56">
    <cfRule type="expression" dxfId="128" priority="163" stopIfTrue="1">
      <formula>AND(#REF!&lt;&gt;"COMPOSICAO",#REF!&lt;&gt;"INSUMO",#REF!&lt;&gt;"")</formula>
    </cfRule>
    <cfRule type="expression" dxfId="127" priority="164" stopIfTrue="1">
      <formula>AND(OR(#REF!="COMPOSICAO",#REF!="INSUMO",#REF!&lt;&gt;""),#REF!&lt;&gt;"")</formula>
    </cfRule>
  </conditionalFormatting>
  <conditionalFormatting sqref="F56">
    <cfRule type="expression" dxfId="126" priority="161" stopIfTrue="1">
      <formula>AND(#REF!&lt;&gt;"COMPOSICAO",#REF!&lt;&gt;"INSUMO",#REF!&lt;&gt;"")</formula>
    </cfRule>
    <cfRule type="expression" dxfId="125" priority="162" stopIfTrue="1">
      <formula>AND(OR(#REF!="COMPOSICAO",#REF!="INSUMO",#REF!&lt;&gt;""),#REF!&lt;&gt;"")</formula>
    </cfRule>
  </conditionalFormatting>
  <conditionalFormatting sqref="F85:F87">
    <cfRule type="expression" dxfId="124" priority="157" stopIfTrue="1">
      <formula>AND(#REF!&lt;&gt;"COMPOSICAO",#REF!&lt;&gt;"INSUMO",#REF!&lt;&gt;"")</formula>
    </cfRule>
    <cfRule type="expression" dxfId="123" priority="158" stopIfTrue="1">
      <formula>AND(OR(#REF!="COMPOSICAO",#REF!="INSUMO",#REF!&lt;&gt;""),#REF!&lt;&gt;"")</formula>
    </cfRule>
  </conditionalFormatting>
  <conditionalFormatting sqref="C84 A85:E87">
    <cfRule type="expression" dxfId="122" priority="155" stopIfTrue="1">
      <formula>AND(#REF!&lt;&gt;"COMPOSICAO",#REF!&lt;&gt;"INSUMO",#REF!&lt;&gt;"")</formula>
    </cfRule>
    <cfRule type="expression" dxfId="121" priority="156" stopIfTrue="1">
      <formula>AND(OR(#REF!="COMPOSICAO",#REF!="INSUMO",#REF!&lt;&gt;""),#REF!&lt;&gt;"")</formula>
    </cfRule>
  </conditionalFormatting>
  <conditionalFormatting sqref="A80:C80 A81:D81 D82">
    <cfRule type="expression" dxfId="120" priority="153" stopIfTrue="1">
      <formula>AND(#REF!&lt;&gt;"COMPOSICAO",#REF!&lt;&gt;"INSUMO",#REF!&lt;&gt;"")</formula>
    </cfRule>
    <cfRule type="expression" dxfId="119" priority="154" stopIfTrue="1">
      <formula>AND(OR(#REF!="COMPOSICAO",#REF!="INSUMO",#REF!&lt;&gt;""),#REF!&lt;&gt;"")</formula>
    </cfRule>
  </conditionalFormatting>
  <conditionalFormatting sqref="E88:F88">
    <cfRule type="expression" dxfId="118" priority="151" stopIfTrue="1">
      <formula>AND(#REF!&lt;&gt;"COMPOSICAO",#REF!&lt;&gt;"INSUMO",#REF!&lt;&gt;"")</formula>
    </cfRule>
    <cfRule type="expression" dxfId="117" priority="152" stopIfTrue="1">
      <formula>AND(OR(#REF!="COMPOSICAO",#REF!="INSUMO",#REF!&lt;&gt;""),#REF!&lt;&gt;"")</formula>
    </cfRule>
  </conditionalFormatting>
  <conditionalFormatting sqref="D80:F80">
    <cfRule type="expression" dxfId="116" priority="149" stopIfTrue="1">
      <formula>AND(#REF!&lt;&gt;"COMPOSICAO",#REF!&lt;&gt;"INSUMO",#REF!&lt;&gt;"")</formula>
    </cfRule>
    <cfRule type="expression" dxfId="115" priority="150" stopIfTrue="1">
      <formula>AND(OR(#REF!="COMPOSICAO",#REF!="INSUMO",#REF!&lt;&gt;""),#REF!&lt;&gt;"")</formula>
    </cfRule>
  </conditionalFormatting>
  <conditionalFormatting sqref="F81:F82">
    <cfRule type="expression" dxfId="114" priority="145" stopIfTrue="1">
      <formula>AND(#REF!&lt;&gt;"COMPOSICAO",#REF!&lt;&gt;"INSUMO",#REF!&lt;&gt;"")</formula>
    </cfRule>
    <cfRule type="expression" dxfId="113" priority="146" stopIfTrue="1">
      <formula>AND(OR(#REF!="COMPOSICAO",#REF!="INSUMO",#REF!&lt;&gt;""),#REF!&lt;&gt;"")</formula>
    </cfRule>
  </conditionalFormatting>
  <conditionalFormatting sqref="A82:C82">
    <cfRule type="expression" dxfId="112" priority="143" stopIfTrue="1">
      <formula>AND(#REF!&lt;&gt;"COMPOSICAO",#REF!&lt;&gt;"INSUMO",#REF!&lt;&gt;"")</formula>
    </cfRule>
    <cfRule type="expression" dxfId="111" priority="144" stopIfTrue="1">
      <formula>AND(OR(#REF!="COMPOSICAO",#REF!="INSUMO",#REF!&lt;&gt;""),#REF!&lt;&gt;"")</formula>
    </cfRule>
  </conditionalFormatting>
  <conditionalFormatting sqref="F84">
    <cfRule type="expression" dxfId="110" priority="141" stopIfTrue="1">
      <formula>AND(#REF!&lt;&gt;"COMPOSICAO",#REF!&lt;&gt;"INSUMO",#REF!&lt;&gt;"")</formula>
    </cfRule>
    <cfRule type="expression" dxfId="109" priority="142" stopIfTrue="1">
      <formula>AND(OR(#REF!="COMPOSICAO",#REF!="INSUMO",#REF!&lt;&gt;""),#REF!&lt;&gt;"")</formula>
    </cfRule>
  </conditionalFormatting>
  <conditionalFormatting sqref="A84:B84 D84">
    <cfRule type="expression" dxfId="108" priority="139" stopIfTrue="1">
      <formula>AND(#REF!&lt;&gt;"COMPOSICAO",#REF!&lt;&gt;"INSUMO",#REF!&lt;&gt;"")</formula>
    </cfRule>
    <cfRule type="expression" dxfId="107" priority="140" stopIfTrue="1">
      <formula>AND(OR(#REF!="COMPOSICAO",#REF!="INSUMO",#REF!&lt;&gt;""),#REF!&lt;&gt;"")</formula>
    </cfRule>
  </conditionalFormatting>
  <conditionalFormatting sqref="A83:D83">
    <cfRule type="expression" dxfId="106" priority="137" stopIfTrue="1">
      <formula>AND(#REF!&lt;&gt;"COMPOSICAO",#REF!&lt;&gt;"INSUMO",#REF!&lt;&gt;"")</formula>
    </cfRule>
    <cfRule type="expression" dxfId="105" priority="138" stopIfTrue="1">
      <formula>AND(OR(#REF!="COMPOSICAO",#REF!="INSUMO",#REF!&lt;&gt;""),#REF!&lt;&gt;"")</formula>
    </cfRule>
  </conditionalFormatting>
  <conditionalFormatting sqref="F83">
    <cfRule type="expression" dxfId="104" priority="135" stopIfTrue="1">
      <formula>AND(#REF!&lt;&gt;"COMPOSICAO",#REF!&lt;&gt;"INSUMO",#REF!&lt;&gt;"")</formula>
    </cfRule>
    <cfRule type="expression" dxfId="103" priority="136" stopIfTrue="1">
      <formula>AND(OR(#REF!="COMPOSICAO",#REF!="INSUMO",#REF!&lt;&gt;""),#REF!&lt;&gt;"")</formula>
    </cfRule>
  </conditionalFormatting>
  <conditionalFormatting sqref="E107:F107 E114:F114">
    <cfRule type="expression" dxfId="102" priority="131" stopIfTrue="1">
      <formula>AND(#REF!&lt;&gt;"COMPOSICAO",#REF!&lt;&gt;"INSUMO",#REF!&lt;&gt;"")</formula>
    </cfRule>
    <cfRule type="expression" dxfId="101" priority="132" stopIfTrue="1">
      <formula>AND(OR(#REF!="COMPOSICAO",#REF!="INSUMO",#REF!&lt;&gt;""),#REF!&lt;&gt;"")</formula>
    </cfRule>
  </conditionalFormatting>
  <conditionalFormatting sqref="C105">
    <cfRule type="expression" dxfId="100" priority="127" stopIfTrue="1">
      <formula>AND(#REF!&lt;&gt;"COMPOSICAO",#REF!&lt;&gt;"INSUMO",#REF!&lt;&gt;"")</formula>
    </cfRule>
    <cfRule type="expression" dxfId="99" priority="128" stopIfTrue="1">
      <formula>AND(OR(#REF!="COMPOSICAO",#REF!="INSUMO",#REF!&lt;&gt;""),#REF!&lt;&gt;"")</formula>
    </cfRule>
  </conditionalFormatting>
  <conditionalFormatting sqref="A101:C101 A102:D102">
    <cfRule type="expression" dxfId="98" priority="125" stopIfTrue="1">
      <formula>AND(#REF!&lt;&gt;"COMPOSICAO",#REF!&lt;&gt;"INSUMO",#REF!&lt;&gt;"")</formula>
    </cfRule>
    <cfRule type="expression" dxfId="97" priority="126" stopIfTrue="1">
      <formula>AND(OR(#REF!="COMPOSICAO",#REF!="INSUMO",#REF!&lt;&gt;""),#REF!&lt;&gt;"")</formula>
    </cfRule>
  </conditionalFormatting>
  <conditionalFormatting sqref="E106:F106">
    <cfRule type="expression" dxfId="96" priority="123" stopIfTrue="1">
      <formula>AND(#REF!&lt;&gt;"COMPOSICAO",#REF!&lt;&gt;"INSUMO",#REF!&lt;&gt;"")</formula>
    </cfRule>
    <cfRule type="expression" dxfId="95" priority="124" stopIfTrue="1">
      <formula>AND(OR(#REF!="COMPOSICAO",#REF!="INSUMO",#REF!&lt;&gt;""),#REF!&lt;&gt;"")</formula>
    </cfRule>
  </conditionalFormatting>
  <conditionalFormatting sqref="D101:F101">
    <cfRule type="expression" dxfId="94" priority="121" stopIfTrue="1">
      <formula>AND(#REF!&lt;&gt;"COMPOSICAO",#REF!&lt;&gt;"INSUMO",#REF!&lt;&gt;"")</formula>
    </cfRule>
    <cfRule type="expression" dxfId="93" priority="122" stopIfTrue="1">
      <formula>AND(OR(#REF!="COMPOSICAO",#REF!="INSUMO",#REF!&lt;&gt;""),#REF!&lt;&gt;"")</formula>
    </cfRule>
  </conditionalFormatting>
  <conditionalFormatting sqref="F102:F103">
    <cfRule type="expression" dxfId="92" priority="117" stopIfTrue="1">
      <formula>AND(#REF!&lt;&gt;"COMPOSICAO",#REF!&lt;&gt;"INSUMO",#REF!&lt;&gt;"")</formula>
    </cfRule>
    <cfRule type="expression" dxfId="91" priority="118" stopIfTrue="1">
      <formula>AND(OR(#REF!="COMPOSICAO",#REF!="INSUMO",#REF!&lt;&gt;""),#REF!&lt;&gt;"")</formula>
    </cfRule>
  </conditionalFormatting>
  <conditionalFormatting sqref="A103:D103">
    <cfRule type="expression" dxfId="90" priority="115" stopIfTrue="1">
      <formula>AND(#REF!&lt;&gt;"COMPOSICAO",#REF!&lt;&gt;"INSUMO",#REF!&lt;&gt;"")</formula>
    </cfRule>
    <cfRule type="expression" dxfId="89" priority="116" stopIfTrue="1">
      <formula>AND(OR(#REF!="COMPOSICAO",#REF!="INSUMO",#REF!&lt;&gt;""),#REF!&lt;&gt;"")</formula>
    </cfRule>
  </conditionalFormatting>
  <conditionalFormatting sqref="F105">
    <cfRule type="expression" dxfId="88" priority="113" stopIfTrue="1">
      <formula>AND(#REF!&lt;&gt;"COMPOSICAO",#REF!&lt;&gt;"INSUMO",#REF!&lt;&gt;"")</formula>
    </cfRule>
    <cfRule type="expression" dxfId="87" priority="114" stopIfTrue="1">
      <formula>AND(OR(#REF!="COMPOSICAO",#REF!="INSUMO",#REF!&lt;&gt;""),#REF!&lt;&gt;"")</formula>
    </cfRule>
  </conditionalFormatting>
  <conditionalFormatting sqref="A105:B105 D105">
    <cfRule type="expression" dxfId="86" priority="111" stopIfTrue="1">
      <formula>AND(#REF!&lt;&gt;"COMPOSICAO",#REF!&lt;&gt;"INSUMO",#REF!&lt;&gt;"")</formula>
    </cfRule>
    <cfRule type="expression" dxfId="85" priority="112" stopIfTrue="1">
      <formula>AND(OR(#REF!="COMPOSICAO",#REF!="INSUMO",#REF!&lt;&gt;""),#REF!&lt;&gt;"")</formula>
    </cfRule>
  </conditionalFormatting>
  <conditionalFormatting sqref="A104:D104">
    <cfRule type="expression" dxfId="84" priority="109" stopIfTrue="1">
      <formula>AND(#REF!&lt;&gt;"COMPOSICAO",#REF!&lt;&gt;"INSUMO",#REF!&lt;&gt;"")</formula>
    </cfRule>
    <cfRule type="expression" dxfId="83" priority="110" stopIfTrue="1">
      <formula>AND(OR(#REF!="COMPOSICAO",#REF!="INSUMO",#REF!&lt;&gt;""),#REF!&lt;&gt;"")</formula>
    </cfRule>
  </conditionalFormatting>
  <conditionalFormatting sqref="F104">
    <cfRule type="expression" dxfId="82" priority="107" stopIfTrue="1">
      <formula>AND(#REF!&lt;&gt;"COMPOSICAO",#REF!&lt;&gt;"INSUMO",#REF!&lt;&gt;"")</formula>
    </cfRule>
    <cfRule type="expression" dxfId="81" priority="108" stopIfTrue="1">
      <formula>AND(OR(#REF!="COMPOSICAO",#REF!="INSUMO",#REF!&lt;&gt;""),#REF!&lt;&gt;"")</formula>
    </cfRule>
  </conditionalFormatting>
  <conditionalFormatting sqref="A116:D116 D117">
    <cfRule type="expression" dxfId="80" priority="103" stopIfTrue="1">
      <formula>AND(#REF!&lt;&gt;"COMPOSICAO",#REF!&lt;&gt;"INSUMO",#REF!&lt;&gt;"")</formula>
    </cfRule>
    <cfRule type="expression" dxfId="79" priority="104" stopIfTrue="1">
      <formula>AND(OR(#REF!="COMPOSICAO",#REF!="INSUMO",#REF!&lt;&gt;""),#REF!&lt;&gt;"")</formula>
    </cfRule>
  </conditionalFormatting>
  <conditionalFormatting sqref="F116:F117">
    <cfRule type="expression" dxfId="78" priority="99" stopIfTrue="1">
      <formula>AND(#REF!&lt;&gt;"COMPOSICAO",#REF!&lt;&gt;"INSUMO",#REF!&lt;&gt;"")</formula>
    </cfRule>
    <cfRule type="expression" dxfId="77" priority="100" stopIfTrue="1">
      <formula>AND(OR(#REF!="COMPOSICAO",#REF!="INSUMO",#REF!&lt;&gt;""),#REF!&lt;&gt;"")</formula>
    </cfRule>
  </conditionalFormatting>
  <conditionalFormatting sqref="A117:C117">
    <cfRule type="expression" dxfId="76" priority="97" stopIfTrue="1">
      <formula>AND(#REF!&lt;&gt;"COMPOSICAO",#REF!&lt;&gt;"INSUMO",#REF!&lt;&gt;"")</formula>
    </cfRule>
    <cfRule type="expression" dxfId="75" priority="98" stopIfTrue="1">
      <formula>AND(OR(#REF!="COMPOSICAO",#REF!="INSUMO",#REF!&lt;&gt;""),#REF!&lt;&gt;"")</formula>
    </cfRule>
  </conditionalFormatting>
  <conditionalFormatting sqref="A118:D118">
    <cfRule type="expression" dxfId="74" priority="95" stopIfTrue="1">
      <formula>AND(#REF!&lt;&gt;"COMPOSICAO",#REF!&lt;&gt;"INSUMO",#REF!&lt;&gt;"")</formula>
    </cfRule>
    <cfRule type="expression" dxfId="73" priority="96" stopIfTrue="1">
      <formula>AND(OR(#REF!="COMPOSICAO",#REF!="INSUMO",#REF!&lt;&gt;""),#REF!&lt;&gt;"")</formula>
    </cfRule>
  </conditionalFormatting>
  <conditionalFormatting sqref="F118">
    <cfRule type="expression" dxfId="72" priority="93" stopIfTrue="1">
      <formula>AND(#REF!&lt;&gt;"COMPOSICAO",#REF!&lt;&gt;"INSUMO",#REF!&lt;&gt;"")</formula>
    </cfRule>
    <cfRule type="expression" dxfId="71" priority="94" stopIfTrue="1">
      <formula>AND(OR(#REF!="COMPOSICAO",#REF!="INSUMO",#REF!&lt;&gt;""),#REF!&lt;&gt;"")</formula>
    </cfRule>
  </conditionalFormatting>
  <conditionalFormatting sqref="A135:C136 F135:F136">
    <cfRule type="expression" dxfId="70" priority="89" stopIfTrue="1">
      <formula>AND(#REF!&lt;&gt;"COMPOSICAO",#REF!&lt;&gt;"INSUMO",#REF!&lt;&gt;"")</formula>
    </cfRule>
    <cfRule type="expression" dxfId="69" priority="90" stopIfTrue="1">
      <formula>AND(OR(#REF!="COMPOSICAO",#REF!="INSUMO",#REF!&lt;&gt;""),#REF!&lt;&gt;"")</formula>
    </cfRule>
  </conditionalFormatting>
  <conditionalFormatting sqref="A131:C131">
    <cfRule type="expression" dxfId="68" priority="85" stopIfTrue="1">
      <formula>AND(#REF!&lt;&gt;"COMPOSICAO",#REF!&lt;&gt;"INSUMO",#REF!&lt;&gt;"")</formula>
    </cfRule>
    <cfRule type="expression" dxfId="67" priority="86" stopIfTrue="1">
      <formula>AND(OR(#REF!="COMPOSICAO",#REF!="INSUMO",#REF!&lt;&gt;""),#REF!&lt;&gt;"")</formula>
    </cfRule>
  </conditionalFormatting>
  <conditionalFormatting sqref="E131:F131">
    <cfRule type="expression" dxfId="66" priority="83" stopIfTrue="1">
      <formula>AND(#REF!&lt;&gt;"COMPOSICAO",#REF!&lt;&gt;"INSUMO",#REF!&lt;&gt;"")</formula>
    </cfRule>
    <cfRule type="expression" dxfId="65" priority="84" stopIfTrue="1">
      <formula>AND(OR(#REF!="COMPOSICAO",#REF!="INSUMO",#REF!&lt;&gt;""),#REF!&lt;&gt;"")</formula>
    </cfRule>
  </conditionalFormatting>
  <conditionalFormatting sqref="D131">
    <cfRule type="expression" dxfId="64" priority="81" stopIfTrue="1">
      <formula>AND(#REF!&lt;&gt;"COMPOSICAO",#REF!&lt;&gt;"INSUMO",#REF!&lt;&gt;"")</formula>
    </cfRule>
    <cfRule type="expression" dxfId="63" priority="82" stopIfTrue="1">
      <formula>AND(OR(#REF!="COMPOSICAO",#REF!="INSUMO",#REF!&lt;&gt;""),#REF!&lt;&gt;"")</formula>
    </cfRule>
  </conditionalFormatting>
  <conditionalFormatting sqref="E135:E136">
    <cfRule type="expression" dxfId="62" priority="87" stopIfTrue="1">
      <formula>AND(#REF!&lt;&gt;"COMPOSICAO",#REF!&lt;&gt;"INSUMO",#REF!&lt;&gt;"")</formula>
    </cfRule>
    <cfRule type="expression" dxfId="61" priority="88" stopIfTrue="1">
      <formula>AND(OR(#REF!="COMPOSICAO",#REF!="INSUMO",#REF!&lt;&gt;""),#REF!&lt;&gt;"")</formula>
    </cfRule>
  </conditionalFormatting>
  <conditionalFormatting sqref="A132:D132">
    <cfRule type="expression" dxfId="60" priority="79" stopIfTrue="1">
      <formula>AND(#REF!&lt;&gt;"COMPOSICAO",#REF!&lt;&gt;"INSUMO",#REF!&lt;&gt;"")</formula>
    </cfRule>
    <cfRule type="expression" dxfId="59" priority="80" stopIfTrue="1">
      <formula>AND(OR(#REF!="COMPOSICAO",#REF!="INSUMO",#REF!&lt;&gt;""),#REF!&lt;&gt;"")</formula>
    </cfRule>
  </conditionalFormatting>
  <conditionalFormatting sqref="F132:F133">
    <cfRule type="expression" dxfId="58" priority="75" stopIfTrue="1">
      <formula>AND(#REF!&lt;&gt;"COMPOSICAO",#REF!&lt;&gt;"INSUMO",#REF!&lt;&gt;"")</formula>
    </cfRule>
    <cfRule type="expression" dxfId="57" priority="76" stopIfTrue="1">
      <formula>AND(OR(#REF!="COMPOSICAO",#REF!="INSUMO",#REF!&lt;&gt;""),#REF!&lt;&gt;"")</formula>
    </cfRule>
  </conditionalFormatting>
  <conditionalFormatting sqref="A133:D133">
    <cfRule type="expression" dxfId="56" priority="73" stopIfTrue="1">
      <formula>AND(#REF!&lt;&gt;"COMPOSICAO",#REF!&lt;&gt;"INSUMO",#REF!&lt;&gt;"")</formula>
    </cfRule>
    <cfRule type="expression" dxfId="55" priority="74" stopIfTrue="1">
      <formula>AND(OR(#REF!="COMPOSICAO",#REF!="INSUMO",#REF!&lt;&gt;""),#REF!&lt;&gt;"")</formula>
    </cfRule>
  </conditionalFormatting>
  <conditionalFormatting sqref="A134:D134">
    <cfRule type="expression" dxfId="54" priority="71" stopIfTrue="1">
      <formula>AND(#REF!&lt;&gt;"COMPOSICAO",#REF!&lt;&gt;"INSUMO",#REF!&lt;&gt;"")</formula>
    </cfRule>
    <cfRule type="expression" dxfId="53" priority="72" stopIfTrue="1">
      <formula>AND(OR(#REF!="COMPOSICAO",#REF!="INSUMO",#REF!&lt;&gt;""),#REF!&lt;&gt;"")</formula>
    </cfRule>
  </conditionalFormatting>
  <conditionalFormatting sqref="F134">
    <cfRule type="expression" dxfId="52" priority="69" stopIfTrue="1">
      <formula>AND(#REF!&lt;&gt;"COMPOSICAO",#REF!&lt;&gt;"INSUMO",#REF!&lt;&gt;"")</formula>
    </cfRule>
    <cfRule type="expression" dxfId="51" priority="70" stopIfTrue="1">
      <formula>AND(OR(#REF!="COMPOSICAO",#REF!="INSUMO",#REF!&lt;&gt;""),#REF!&lt;&gt;"")</formula>
    </cfRule>
  </conditionalFormatting>
  <conditionalFormatting sqref="F137">
    <cfRule type="expression" dxfId="50" priority="65" stopIfTrue="1">
      <formula>AND(#REF!&lt;&gt;"COMPOSICAO",#REF!&lt;&gt;"INSUMO",#REF!&lt;&gt;"")</formula>
    </cfRule>
    <cfRule type="expression" dxfId="49" priority="66" stopIfTrue="1">
      <formula>AND(OR(#REF!="COMPOSICAO",#REF!="INSUMO",#REF!&lt;&gt;""),#REF!&lt;&gt;"")</formula>
    </cfRule>
  </conditionalFormatting>
  <conditionalFormatting sqref="A137:D137">
    <cfRule type="expression" dxfId="48" priority="63" stopIfTrue="1">
      <formula>AND(#REF!&lt;&gt;"COMPOSICAO",#REF!&lt;&gt;"INSUMO",#REF!&lt;&gt;"")</formula>
    </cfRule>
    <cfRule type="expression" dxfId="47" priority="64" stopIfTrue="1">
      <formula>AND(OR(#REF!="COMPOSICAO",#REF!="INSUMO",#REF!&lt;&gt;""),#REF!&lt;&gt;"")</formula>
    </cfRule>
  </conditionalFormatting>
  <conditionalFormatting sqref="F138">
    <cfRule type="expression" dxfId="46" priority="61" stopIfTrue="1">
      <formula>AND(#REF!&lt;&gt;"COMPOSICAO",#REF!&lt;&gt;"INSUMO",#REF!&lt;&gt;"")</formula>
    </cfRule>
    <cfRule type="expression" dxfId="45" priority="62" stopIfTrue="1">
      <formula>AND(OR(#REF!="COMPOSICAO",#REF!="INSUMO",#REF!&lt;&gt;""),#REF!&lt;&gt;"")</formula>
    </cfRule>
  </conditionalFormatting>
  <conditionalFormatting sqref="A138:E138">
    <cfRule type="expression" dxfId="44" priority="59" stopIfTrue="1">
      <formula>AND(#REF!&lt;&gt;"COMPOSICAO",#REF!&lt;&gt;"INSUMO",#REF!&lt;&gt;"")</formula>
    </cfRule>
    <cfRule type="expression" dxfId="43" priority="60" stopIfTrue="1">
      <formula>AND(OR(#REF!="COMPOSICAO",#REF!="INSUMO",#REF!&lt;&gt;""),#REF!&lt;&gt;"")</formula>
    </cfRule>
  </conditionalFormatting>
  <conditionalFormatting sqref="D56">
    <cfRule type="expression" dxfId="42" priority="57" stopIfTrue="1">
      <formula>AND(#REF!&lt;&gt;"COMPOSICAO",#REF!&lt;&gt;"INSUMO",#REF!&lt;&gt;"")</formula>
    </cfRule>
    <cfRule type="expression" dxfId="41" priority="58" stopIfTrue="1">
      <formula>AND(OR(#REF!="COMPOSICAO",#REF!="INSUMO",#REF!&lt;&gt;""),#REF!&lt;&gt;"")</formula>
    </cfRule>
  </conditionalFormatting>
  <conditionalFormatting sqref="D135:D136">
    <cfRule type="expression" dxfId="40" priority="55" stopIfTrue="1">
      <formula>AND(#REF!&lt;&gt;"COMPOSICAO",#REF!&lt;&gt;"INSUMO",#REF!&lt;&gt;"")</formula>
    </cfRule>
    <cfRule type="expression" dxfId="39" priority="56" stopIfTrue="1">
      <formula>AND(OR(#REF!="COMPOSICAO",#REF!="INSUMO",#REF!&lt;&gt;""),#REF!&lt;&gt;"")</formula>
    </cfRule>
  </conditionalFormatting>
  <conditionalFormatting sqref="E65:F72 E73">
    <cfRule type="expression" dxfId="38" priority="47" stopIfTrue="1">
      <formula>AND(#REF!&lt;&gt;"COMPOSICAO",#REF!&lt;&gt;"INSUMO",#REF!&lt;&gt;"")</formula>
    </cfRule>
    <cfRule type="expression" dxfId="37" priority="48" stopIfTrue="1">
      <formula>AND(OR(#REF!="COMPOSICAO",#REF!="INSUMO",#REF!&lt;&gt;""),#REF!&lt;&gt;"")</formula>
    </cfRule>
  </conditionalFormatting>
  <conditionalFormatting sqref="E64:F64 E79:F79">
    <cfRule type="expression" dxfId="36" priority="45" stopIfTrue="1">
      <formula>AND(#REF!&lt;&gt;"COMPOSICAO",#REF!&lt;&gt;"INSUMO",#REF!&lt;&gt;"")</formula>
    </cfRule>
    <cfRule type="expression" dxfId="35" priority="46" stopIfTrue="1">
      <formula>AND(OR(#REF!="COMPOSICAO",#REF!="INSUMO",#REF!&lt;&gt;""),#REF!&lt;&gt;"")</formula>
    </cfRule>
  </conditionalFormatting>
  <conditionalFormatting sqref="E89:F89 E100:F100">
    <cfRule type="expression" dxfId="34" priority="39" stopIfTrue="1">
      <formula>AND(#REF!&lt;&gt;"COMPOSICAO",#REF!&lt;&gt;"INSUMO",#REF!&lt;&gt;"")</formula>
    </cfRule>
    <cfRule type="expression" dxfId="33" priority="40" stopIfTrue="1">
      <formula>AND(OR(#REF!="COMPOSICAO",#REF!="INSUMO",#REF!&lt;&gt;""),#REF!&lt;&gt;"")</formula>
    </cfRule>
  </conditionalFormatting>
  <conditionalFormatting sqref="E47:E49">
    <cfRule type="expression" dxfId="32" priority="37" stopIfTrue="1">
      <formula>AND(#REF!&lt;&gt;"COMPOSICAO",#REF!&lt;&gt;"INSUMO",#REF!&lt;&gt;"")</formula>
    </cfRule>
    <cfRule type="expression" dxfId="31" priority="38" stopIfTrue="1">
      <formula>AND(OR(#REF!="COMPOSICAO",#REF!="INSUMO",#REF!&lt;&gt;""),#REF!&lt;&gt;"")</formula>
    </cfRule>
  </conditionalFormatting>
  <conditionalFormatting sqref="E50">
    <cfRule type="expression" dxfId="30" priority="35" stopIfTrue="1">
      <formula>AND(#REF!&lt;&gt;"COMPOSICAO",#REF!&lt;&gt;"INSUMO",#REF!&lt;&gt;"")</formula>
    </cfRule>
    <cfRule type="expression" dxfId="29" priority="36" stopIfTrue="1">
      <formula>AND(OR(#REF!="COMPOSICAO",#REF!="INSUMO",#REF!&lt;&gt;""),#REF!&lt;&gt;"")</formula>
    </cfRule>
  </conditionalFormatting>
  <conditionalFormatting sqref="E51:F51">
    <cfRule type="expression" dxfId="28" priority="33" stopIfTrue="1">
      <formula>AND(#REF!&lt;&gt;"COMPOSICAO",#REF!&lt;&gt;"INSUMO",#REF!&lt;&gt;"")</formula>
    </cfRule>
    <cfRule type="expression" dxfId="27" priority="34" stopIfTrue="1">
      <formula>AND(OR(#REF!="COMPOSICAO",#REF!="INSUMO",#REF!&lt;&gt;""),#REF!&lt;&gt;"")</formula>
    </cfRule>
  </conditionalFormatting>
  <conditionalFormatting sqref="E74:E78">
    <cfRule type="expression" dxfId="26" priority="31" stopIfTrue="1">
      <formula>AND(#REF!&lt;&gt;"COMPOSICAO",#REF!&lt;&gt;"INSUMO",#REF!&lt;&gt;"")</formula>
    </cfRule>
    <cfRule type="expression" dxfId="25" priority="32" stopIfTrue="1">
      <formula>AND(OR(#REF!="COMPOSICAO",#REF!="INSUMO",#REF!&lt;&gt;""),#REF!&lt;&gt;"")</formula>
    </cfRule>
  </conditionalFormatting>
  <conditionalFormatting sqref="F73:F78">
    <cfRule type="expression" dxfId="24" priority="29" stopIfTrue="1">
      <formula>AND(#REF!&lt;&gt;"COMPOSICAO",#REF!&lt;&gt;"INSUMO",#REF!&lt;&gt;"")</formula>
    </cfRule>
    <cfRule type="expression" dxfId="23" priority="30" stopIfTrue="1">
      <formula>AND(OR(#REF!="COMPOSICAO",#REF!="INSUMO",#REF!&lt;&gt;""),#REF!&lt;&gt;"")</formula>
    </cfRule>
  </conditionalFormatting>
  <conditionalFormatting sqref="E108:F110">
    <cfRule type="expression" dxfId="22" priority="27" stopIfTrue="1">
      <formula>AND(#REF!&lt;&gt;"COMPOSICAO",#REF!&lt;&gt;"INSUMO",#REF!&lt;&gt;"")</formula>
    </cfRule>
    <cfRule type="expression" dxfId="21" priority="28" stopIfTrue="1">
      <formula>AND(OR(#REF!="COMPOSICAO",#REF!="INSUMO",#REF!&lt;&gt;""),#REF!&lt;&gt;"")</formula>
    </cfRule>
  </conditionalFormatting>
  <conditionalFormatting sqref="E113:F113">
    <cfRule type="expression" dxfId="20" priority="23" stopIfTrue="1">
      <formula>AND(#REF!&lt;&gt;"COMPOSICAO",#REF!&lt;&gt;"INSUMO",#REF!&lt;&gt;"")</formula>
    </cfRule>
    <cfRule type="expression" dxfId="19" priority="24" stopIfTrue="1">
      <formula>AND(OR(#REF!="COMPOSICAO",#REF!="INSUMO",#REF!&lt;&gt;""),#REF!&lt;&gt;"")</formula>
    </cfRule>
  </conditionalFormatting>
  <conditionalFormatting sqref="E126:F128">
    <cfRule type="expression" dxfId="18" priority="21" stopIfTrue="1">
      <formula>AND(#REF!&lt;&gt;"COMPOSICAO",#REF!&lt;&gt;"INSUMO",#REF!&lt;&gt;"")</formula>
    </cfRule>
    <cfRule type="expression" dxfId="17" priority="22" stopIfTrue="1">
      <formula>AND(OR(#REF!="COMPOSICAO",#REF!="INSUMO",#REF!&lt;&gt;""),#REF!&lt;&gt;"")</formula>
    </cfRule>
  </conditionalFormatting>
  <conditionalFormatting sqref="E123:F125">
    <cfRule type="expression" dxfId="16" priority="19" stopIfTrue="1">
      <formula>AND(#REF!&lt;&gt;"COMPOSICAO",#REF!&lt;&gt;"INSUMO",#REF!&lt;&gt;"")</formula>
    </cfRule>
    <cfRule type="expression" dxfId="15" priority="20" stopIfTrue="1">
      <formula>AND(OR(#REF!="COMPOSICAO",#REF!="INSUMO",#REF!&lt;&gt;""),#REF!&lt;&gt;"")</formula>
    </cfRule>
  </conditionalFormatting>
  <conditionalFormatting sqref="E129:F130">
    <cfRule type="expression" dxfId="14" priority="17" stopIfTrue="1">
      <formula>AND(#REF!&lt;&gt;"COMPOSICAO",#REF!&lt;&gt;"INSUMO",#REF!&lt;&gt;"")</formula>
    </cfRule>
    <cfRule type="expression" dxfId="13" priority="18" stopIfTrue="1">
      <formula>AND(OR(#REF!="COMPOSICAO",#REF!="INSUMO",#REF!&lt;&gt;""),#REF!&lt;&gt;"")</formula>
    </cfRule>
  </conditionalFormatting>
  <conditionalFormatting sqref="E141:F143">
    <cfRule type="expression" dxfId="12" priority="13" stopIfTrue="1">
      <formula>AND(#REF!&lt;&gt;"COMPOSICAO",#REF!&lt;&gt;"INSUMO",#REF!&lt;&gt;"")</formula>
    </cfRule>
    <cfRule type="expression" dxfId="11" priority="14" stopIfTrue="1">
      <formula>AND(OR(#REF!="COMPOSICAO",#REF!="INSUMO",#REF!&lt;&gt;""),#REF!&lt;&gt;"")</formula>
    </cfRule>
  </conditionalFormatting>
  <conditionalFormatting sqref="E146:F149">
    <cfRule type="expression" dxfId="10" priority="11" stopIfTrue="1">
      <formula>AND(#REF!&lt;&gt;"COMPOSICAO",#REF!&lt;&gt;"INSUMO",#REF!&lt;&gt;"")</formula>
    </cfRule>
    <cfRule type="expression" dxfId="9" priority="12" stopIfTrue="1">
      <formula>AND(OR(#REF!="COMPOSICAO",#REF!="INSUMO",#REF!&lt;&gt;""),#REF!&lt;&gt;"")</formula>
    </cfRule>
  </conditionalFormatting>
  <conditionalFormatting sqref="F36:F37">
    <cfRule type="expression" dxfId="8" priority="7" stopIfTrue="1">
      <formula>AND(#REF!&lt;&gt;"COMPOSICAO",#REF!&lt;&gt;"INSUMO",#REF!&lt;&gt;"")</formula>
    </cfRule>
    <cfRule type="expression" dxfId="7" priority="8" stopIfTrue="1">
      <formula>AND(OR(#REF!="COMPOSICAO",#REF!="INSUMO",#REF!&lt;&gt;""),#REF!&lt;&gt;"")</formula>
    </cfRule>
  </conditionalFormatting>
  <conditionalFormatting sqref="A36:E37">
    <cfRule type="expression" dxfId="6" priority="5" stopIfTrue="1">
      <formula>AND(#REF!&lt;&gt;"COMPOSICAO",#REF!&lt;&gt;"INSUMO",#REF!&lt;&gt;"")</formula>
    </cfRule>
    <cfRule type="expression" dxfId="5" priority="6" stopIfTrue="1">
      <formula>AND(OR(#REF!="COMPOSICAO",#REF!="INSUMO",#REF!&lt;&gt;""),#REF!&lt;&gt;"")</formula>
    </cfRule>
  </conditionalFormatting>
  <conditionalFormatting sqref="F61:F62">
    <cfRule type="expression" dxfId="4" priority="3" stopIfTrue="1">
      <formula>AND(#REF!&lt;&gt;"COMPOSICAO",#REF!&lt;&gt;"INSUMO",#REF!&lt;&gt;"")</formula>
    </cfRule>
    <cfRule type="expression" dxfId="3" priority="4" stopIfTrue="1">
      <formula>AND(OR(#REF!="COMPOSICAO",#REF!="INSUMO",#REF!&lt;&gt;""),#REF!&lt;&gt;"")</formula>
    </cfRule>
  </conditionalFormatting>
  <conditionalFormatting sqref="A61:E62">
    <cfRule type="expression" dxfId="2" priority="1" stopIfTrue="1">
      <formula>AND(#REF!&lt;&gt;"COMPOSICAO",#REF!&lt;&gt;"INSUMO",#REF!&lt;&gt;"")</formula>
    </cfRule>
    <cfRule type="expression" dxfId="1" priority="2" stopIfTrue="1">
      <formula>AND(OR(#REF!="COMPOSICAO",#REF!="INSUMO",#REF!&lt;&gt;""),#REF!&lt;&gt;"")</formula>
    </cfRule>
  </conditionalFormatting>
  <pageMargins left="0.98425196850393704" right="0.59055118110236227" top="1.1811023622047245" bottom="1.1811023622047245" header="0.47244094488188981" footer="0.31496062992125984"/>
  <pageSetup paperSize="9" orientation="portrait" r:id="rId1"/>
  <headerFooter>
    <oddHeader>&amp;C&amp;G</oddHeader>
    <oddFooter>&amp;C&amp;"Trebuchet MS,Itálico"&amp;9Rua Pedro Caetano Domingues, nº 33, Quincas Machado, Guaçuí – ES / CNPJ: 21.861.470/0001-10 
       contato.vmengenharia@gmail.com / (28) 9 9963 2562 / (28) 9 9966 6524&amp;R&amp;"Trebuchet MS,Itálico"&amp;9&amp;P de &amp;N</oddFooter>
  </headerFooter>
  <legacyDrawingHF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17D9FF-61B1-4DE5-BC9F-4657D990CFEF}">
  <sheetPr>
    <tabColor theme="9" tint="-0.249977111117893"/>
  </sheetPr>
  <dimension ref="A1:H40"/>
  <sheetViews>
    <sheetView showGridLines="0" view="pageBreakPreview" zoomScaleNormal="115" zoomScaleSheetLayoutView="100" workbookViewId="0">
      <selection activeCell="F18" sqref="F18"/>
    </sheetView>
  </sheetViews>
  <sheetFormatPr defaultRowHeight="13.2" x14ac:dyDescent="0.25"/>
  <cols>
    <col min="1" max="1" width="11" style="190" bestFit="1" customWidth="1"/>
    <col min="2" max="2" width="40.44140625" style="190" customWidth="1"/>
    <col min="3" max="3" width="11.6640625" style="196" customWidth="1"/>
    <col min="4" max="4" width="3.109375" style="218" bestFit="1" customWidth="1"/>
    <col min="5" max="5" width="11" style="125" bestFit="1" customWidth="1"/>
    <col min="6" max="6" width="34.44140625" style="125" customWidth="1"/>
    <col min="7" max="256" width="9.109375" style="125"/>
    <col min="257" max="257" width="11" style="125" bestFit="1" customWidth="1"/>
    <col min="258" max="258" width="40.44140625" style="125" customWidth="1"/>
    <col min="259" max="259" width="11.6640625" style="125" customWidth="1"/>
    <col min="260" max="260" width="3.109375" style="125" bestFit="1" customWidth="1"/>
    <col min="261" max="261" width="11" style="125" bestFit="1" customWidth="1"/>
    <col min="262" max="262" width="34.44140625" style="125" customWidth="1"/>
    <col min="263" max="512" width="9.109375" style="125"/>
    <col min="513" max="513" width="11" style="125" bestFit="1" customWidth="1"/>
    <col min="514" max="514" width="40.44140625" style="125" customWidth="1"/>
    <col min="515" max="515" width="11.6640625" style="125" customWidth="1"/>
    <col min="516" max="516" width="3.109375" style="125" bestFit="1" customWidth="1"/>
    <col min="517" max="517" width="11" style="125" bestFit="1" customWidth="1"/>
    <col min="518" max="518" width="34.44140625" style="125" customWidth="1"/>
    <col min="519" max="768" width="9.109375" style="125"/>
    <col min="769" max="769" width="11" style="125" bestFit="1" customWidth="1"/>
    <col min="770" max="770" width="40.44140625" style="125" customWidth="1"/>
    <col min="771" max="771" width="11.6640625" style="125" customWidth="1"/>
    <col min="772" max="772" width="3.109375" style="125" bestFit="1" customWidth="1"/>
    <col min="773" max="773" width="11" style="125" bestFit="1" customWidth="1"/>
    <col min="774" max="774" width="34.44140625" style="125" customWidth="1"/>
    <col min="775" max="1024" width="9.109375" style="125"/>
    <col min="1025" max="1025" width="11" style="125" bestFit="1" customWidth="1"/>
    <col min="1026" max="1026" width="40.44140625" style="125" customWidth="1"/>
    <col min="1027" max="1027" width="11.6640625" style="125" customWidth="1"/>
    <col min="1028" max="1028" width="3.109375" style="125" bestFit="1" customWidth="1"/>
    <col min="1029" max="1029" width="11" style="125" bestFit="1" customWidth="1"/>
    <col min="1030" max="1030" width="34.44140625" style="125" customWidth="1"/>
    <col min="1031" max="1280" width="9.109375" style="125"/>
    <col min="1281" max="1281" width="11" style="125" bestFit="1" customWidth="1"/>
    <col min="1282" max="1282" width="40.44140625" style="125" customWidth="1"/>
    <col min="1283" max="1283" width="11.6640625" style="125" customWidth="1"/>
    <col min="1284" max="1284" width="3.109375" style="125" bestFit="1" customWidth="1"/>
    <col min="1285" max="1285" width="11" style="125" bestFit="1" customWidth="1"/>
    <col min="1286" max="1286" width="34.44140625" style="125" customWidth="1"/>
    <col min="1287" max="1536" width="9.109375" style="125"/>
    <col min="1537" max="1537" width="11" style="125" bestFit="1" customWidth="1"/>
    <col min="1538" max="1538" width="40.44140625" style="125" customWidth="1"/>
    <col min="1539" max="1539" width="11.6640625" style="125" customWidth="1"/>
    <col min="1540" max="1540" width="3.109375" style="125" bestFit="1" customWidth="1"/>
    <col min="1541" max="1541" width="11" style="125" bestFit="1" customWidth="1"/>
    <col min="1542" max="1542" width="34.44140625" style="125" customWidth="1"/>
    <col min="1543" max="1792" width="9.109375" style="125"/>
    <col min="1793" max="1793" width="11" style="125" bestFit="1" customWidth="1"/>
    <col min="1794" max="1794" width="40.44140625" style="125" customWidth="1"/>
    <col min="1795" max="1795" width="11.6640625" style="125" customWidth="1"/>
    <col min="1796" max="1796" width="3.109375" style="125" bestFit="1" customWidth="1"/>
    <col min="1797" max="1797" width="11" style="125" bestFit="1" customWidth="1"/>
    <col min="1798" max="1798" width="34.44140625" style="125" customWidth="1"/>
    <col min="1799" max="2048" width="9.109375" style="125"/>
    <col min="2049" max="2049" width="11" style="125" bestFit="1" customWidth="1"/>
    <col min="2050" max="2050" width="40.44140625" style="125" customWidth="1"/>
    <col min="2051" max="2051" width="11.6640625" style="125" customWidth="1"/>
    <col min="2052" max="2052" width="3.109375" style="125" bestFit="1" customWidth="1"/>
    <col min="2053" max="2053" width="11" style="125" bestFit="1" customWidth="1"/>
    <col min="2054" max="2054" width="34.44140625" style="125" customWidth="1"/>
    <col min="2055" max="2304" width="9.109375" style="125"/>
    <col min="2305" max="2305" width="11" style="125" bestFit="1" customWidth="1"/>
    <col min="2306" max="2306" width="40.44140625" style="125" customWidth="1"/>
    <col min="2307" max="2307" width="11.6640625" style="125" customWidth="1"/>
    <col min="2308" max="2308" width="3.109375" style="125" bestFit="1" customWidth="1"/>
    <col min="2309" max="2309" width="11" style="125" bestFit="1" customWidth="1"/>
    <col min="2310" max="2310" width="34.44140625" style="125" customWidth="1"/>
    <col min="2311" max="2560" width="9.109375" style="125"/>
    <col min="2561" max="2561" width="11" style="125" bestFit="1" customWidth="1"/>
    <col min="2562" max="2562" width="40.44140625" style="125" customWidth="1"/>
    <col min="2563" max="2563" width="11.6640625" style="125" customWidth="1"/>
    <col min="2564" max="2564" width="3.109375" style="125" bestFit="1" customWidth="1"/>
    <col min="2565" max="2565" width="11" style="125" bestFit="1" customWidth="1"/>
    <col min="2566" max="2566" width="34.44140625" style="125" customWidth="1"/>
    <col min="2567" max="2816" width="9.109375" style="125"/>
    <col min="2817" max="2817" width="11" style="125" bestFit="1" customWidth="1"/>
    <col min="2818" max="2818" width="40.44140625" style="125" customWidth="1"/>
    <col min="2819" max="2819" width="11.6640625" style="125" customWidth="1"/>
    <col min="2820" max="2820" width="3.109375" style="125" bestFit="1" customWidth="1"/>
    <col min="2821" max="2821" width="11" style="125" bestFit="1" customWidth="1"/>
    <col min="2822" max="2822" width="34.44140625" style="125" customWidth="1"/>
    <col min="2823" max="3072" width="9.109375" style="125"/>
    <col min="3073" max="3073" width="11" style="125" bestFit="1" customWidth="1"/>
    <col min="3074" max="3074" width="40.44140625" style="125" customWidth="1"/>
    <col min="3075" max="3075" width="11.6640625" style="125" customWidth="1"/>
    <col min="3076" max="3076" width="3.109375" style="125" bestFit="1" customWidth="1"/>
    <col min="3077" max="3077" width="11" style="125" bestFit="1" customWidth="1"/>
    <col min="3078" max="3078" width="34.44140625" style="125" customWidth="1"/>
    <col min="3079" max="3328" width="9.109375" style="125"/>
    <col min="3329" max="3329" width="11" style="125" bestFit="1" customWidth="1"/>
    <col min="3330" max="3330" width="40.44140625" style="125" customWidth="1"/>
    <col min="3331" max="3331" width="11.6640625" style="125" customWidth="1"/>
    <col min="3332" max="3332" width="3.109375" style="125" bestFit="1" customWidth="1"/>
    <col min="3333" max="3333" width="11" style="125" bestFit="1" customWidth="1"/>
    <col min="3334" max="3334" width="34.44140625" style="125" customWidth="1"/>
    <col min="3335" max="3584" width="9.109375" style="125"/>
    <col min="3585" max="3585" width="11" style="125" bestFit="1" customWidth="1"/>
    <col min="3586" max="3586" width="40.44140625" style="125" customWidth="1"/>
    <col min="3587" max="3587" width="11.6640625" style="125" customWidth="1"/>
    <col min="3588" max="3588" width="3.109375" style="125" bestFit="1" customWidth="1"/>
    <col min="3589" max="3589" width="11" style="125" bestFit="1" customWidth="1"/>
    <col min="3590" max="3590" width="34.44140625" style="125" customWidth="1"/>
    <col min="3591" max="3840" width="9.109375" style="125"/>
    <col min="3841" max="3841" width="11" style="125" bestFit="1" customWidth="1"/>
    <col min="3842" max="3842" width="40.44140625" style="125" customWidth="1"/>
    <col min="3843" max="3843" width="11.6640625" style="125" customWidth="1"/>
    <col min="3844" max="3844" width="3.109375" style="125" bestFit="1" customWidth="1"/>
    <col min="3845" max="3845" width="11" style="125" bestFit="1" customWidth="1"/>
    <col min="3846" max="3846" width="34.44140625" style="125" customWidth="1"/>
    <col min="3847" max="4096" width="9.109375" style="125"/>
    <col min="4097" max="4097" width="11" style="125" bestFit="1" customWidth="1"/>
    <col min="4098" max="4098" width="40.44140625" style="125" customWidth="1"/>
    <col min="4099" max="4099" width="11.6640625" style="125" customWidth="1"/>
    <col min="4100" max="4100" width="3.109375" style="125" bestFit="1" customWidth="1"/>
    <col min="4101" max="4101" width="11" style="125" bestFit="1" customWidth="1"/>
    <col min="4102" max="4102" width="34.44140625" style="125" customWidth="1"/>
    <col min="4103" max="4352" width="9.109375" style="125"/>
    <col min="4353" max="4353" width="11" style="125" bestFit="1" customWidth="1"/>
    <col min="4354" max="4354" width="40.44140625" style="125" customWidth="1"/>
    <col min="4355" max="4355" width="11.6640625" style="125" customWidth="1"/>
    <col min="4356" max="4356" width="3.109375" style="125" bestFit="1" customWidth="1"/>
    <col min="4357" max="4357" width="11" style="125" bestFit="1" customWidth="1"/>
    <col min="4358" max="4358" width="34.44140625" style="125" customWidth="1"/>
    <col min="4359" max="4608" width="9.109375" style="125"/>
    <col min="4609" max="4609" width="11" style="125" bestFit="1" customWidth="1"/>
    <col min="4610" max="4610" width="40.44140625" style="125" customWidth="1"/>
    <col min="4611" max="4611" width="11.6640625" style="125" customWidth="1"/>
    <col min="4612" max="4612" width="3.109375" style="125" bestFit="1" customWidth="1"/>
    <col min="4613" max="4613" width="11" style="125" bestFit="1" customWidth="1"/>
    <col min="4614" max="4614" width="34.44140625" style="125" customWidth="1"/>
    <col min="4615" max="4864" width="9.109375" style="125"/>
    <col min="4865" max="4865" width="11" style="125" bestFit="1" customWidth="1"/>
    <col min="4866" max="4866" width="40.44140625" style="125" customWidth="1"/>
    <col min="4867" max="4867" width="11.6640625" style="125" customWidth="1"/>
    <col min="4868" max="4868" width="3.109375" style="125" bestFit="1" customWidth="1"/>
    <col min="4869" max="4869" width="11" style="125" bestFit="1" customWidth="1"/>
    <col min="4870" max="4870" width="34.44140625" style="125" customWidth="1"/>
    <col min="4871" max="5120" width="9.109375" style="125"/>
    <col min="5121" max="5121" width="11" style="125" bestFit="1" customWidth="1"/>
    <col min="5122" max="5122" width="40.44140625" style="125" customWidth="1"/>
    <col min="5123" max="5123" width="11.6640625" style="125" customWidth="1"/>
    <col min="5124" max="5124" width="3.109375" style="125" bestFit="1" customWidth="1"/>
    <col min="5125" max="5125" width="11" style="125" bestFit="1" customWidth="1"/>
    <col min="5126" max="5126" width="34.44140625" style="125" customWidth="1"/>
    <col min="5127" max="5376" width="9.109375" style="125"/>
    <col min="5377" max="5377" width="11" style="125" bestFit="1" customWidth="1"/>
    <col min="5378" max="5378" width="40.44140625" style="125" customWidth="1"/>
    <col min="5379" max="5379" width="11.6640625" style="125" customWidth="1"/>
    <col min="5380" max="5380" width="3.109375" style="125" bestFit="1" customWidth="1"/>
    <col min="5381" max="5381" width="11" style="125" bestFit="1" customWidth="1"/>
    <col min="5382" max="5382" width="34.44140625" style="125" customWidth="1"/>
    <col min="5383" max="5632" width="9.109375" style="125"/>
    <col min="5633" max="5633" width="11" style="125" bestFit="1" customWidth="1"/>
    <col min="5634" max="5634" width="40.44140625" style="125" customWidth="1"/>
    <col min="5635" max="5635" width="11.6640625" style="125" customWidth="1"/>
    <col min="5636" max="5636" width="3.109375" style="125" bestFit="1" customWidth="1"/>
    <col min="5637" max="5637" width="11" style="125" bestFit="1" customWidth="1"/>
    <col min="5638" max="5638" width="34.44140625" style="125" customWidth="1"/>
    <col min="5639" max="5888" width="9.109375" style="125"/>
    <col min="5889" max="5889" width="11" style="125" bestFit="1" customWidth="1"/>
    <col min="5890" max="5890" width="40.44140625" style="125" customWidth="1"/>
    <col min="5891" max="5891" width="11.6640625" style="125" customWidth="1"/>
    <col min="5892" max="5892" width="3.109375" style="125" bestFit="1" customWidth="1"/>
    <col min="5893" max="5893" width="11" style="125" bestFit="1" customWidth="1"/>
    <col min="5894" max="5894" width="34.44140625" style="125" customWidth="1"/>
    <col min="5895" max="6144" width="9.109375" style="125"/>
    <col min="6145" max="6145" width="11" style="125" bestFit="1" customWidth="1"/>
    <col min="6146" max="6146" width="40.44140625" style="125" customWidth="1"/>
    <col min="6147" max="6147" width="11.6640625" style="125" customWidth="1"/>
    <col min="6148" max="6148" width="3.109375" style="125" bestFit="1" customWidth="1"/>
    <col min="6149" max="6149" width="11" style="125" bestFit="1" customWidth="1"/>
    <col min="6150" max="6150" width="34.44140625" style="125" customWidth="1"/>
    <col min="6151" max="6400" width="9.109375" style="125"/>
    <col min="6401" max="6401" width="11" style="125" bestFit="1" customWidth="1"/>
    <col min="6402" max="6402" width="40.44140625" style="125" customWidth="1"/>
    <col min="6403" max="6403" width="11.6640625" style="125" customWidth="1"/>
    <col min="6404" max="6404" width="3.109375" style="125" bestFit="1" customWidth="1"/>
    <col min="6405" max="6405" width="11" style="125" bestFit="1" customWidth="1"/>
    <col min="6406" max="6406" width="34.44140625" style="125" customWidth="1"/>
    <col min="6407" max="6656" width="9.109375" style="125"/>
    <col min="6657" max="6657" width="11" style="125" bestFit="1" customWidth="1"/>
    <col min="6658" max="6658" width="40.44140625" style="125" customWidth="1"/>
    <col min="6659" max="6659" width="11.6640625" style="125" customWidth="1"/>
    <col min="6660" max="6660" width="3.109375" style="125" bestFit="1" customWidth="1"/>
    <col min="6661" max="6661" width="11" style="125" bestFit="1" customWidth="1"/>
    <col min="6662" max="6662" width="34.44140625" style="125" customWidth="1"/>
    <col min="6663" max="6912" width="9.109375" style="125"/>
    <col min="6913" max="6913" width="11" style="125" bestFit="1" customWidth="1"/>
    <col min="6914" max="6914" width="40.44140625" style="125" customWidth="1"/>
    <col min="6915" max="6915" width="11.6640625" style="125" customWidth="1"/>
    <col min="6916" max="6916" width="3.109375" style="125" bestFit="1" customWidth="1"/>
    <col min="6917" max="6917" width="11" style="125" bestFit="1" customWidth="1"/>
    <col min="6918" max="6918" width="34.44140625" style="125" customWidth="1"/>
    <col min="6919" max="7168" width="9.109375" style="125"/>
    <col min="7169" max="7169" width="11" style="125" bestFit="1" customWidth="1"/>
    <col min="7170" max="7170" width="40.44140625" style="125" customWidth="1"/>
    <col min="7171" max="7171" width="11.6640625" style="125" customWidth="1"/>
    <col min="7172" max="7172" width="3.109375" style="125" bestFit="1" customWidth="1"/>
    <col min="7173" max="7173" width="11" style="125" bestFit="1" customWidth="1"/>
    <col min="7174" max="7174" width="34.44140625" style="125" customWidth="1"/>
    <col min="7175" max="7424" width="9.109375" style="125"/>
    <col min="7425" max="7425" width="11" style="125" bestFit="1" customWidth="1"/>
    <col min="7426" max="7426" width="40.44140625" style="125" customWidth="1"/>
    <col min="7427" max="7427" width="11.6640625" style="125" customWidth="1"/>
    <col min="7428" max="7428" width="3.109375" style="125" bestFit="1" customWidth="1"/>
    <col min="7429" max="7429" width="11" style="125" bestFit="1" customWidth="1"/>
    <col min="7430" max="7430" width="34.44140625" style="125" customWidth="1"/>
    <col min="7431" max="7680" width="9.109375" style="125"/>
    <col min="7681" max="7681" width="11" style="125" bestFit="1" customWidth="1"/>
    <col min="7682" max="7682" width="40.44140625" style="125" customWidth="1"/>
    <col min="7683" max="7683" width="11.6640625" style="125" customWidth="1"/>
    <col min="7684" max="7684" width="3.109375" style="125" bestFit="1" customWidth="1"/>
    <col min="7685" max="7685" width="11" style="125" bestFit="1" customWidth="1"/>
    <col min="7686" max="7686" width="34.44140625" style="125" customWidth="1"/>
    <col min="7687" max="7936" width="9.109375" style="125"/>
    <col min="7937" max="7937" width="11" style="125" bestFit="1" customWidth="1"/>
    <col min="7938" max="7938" width="40.44140625" style="125" customWidth="1"/>
    <col min="7939" max="7939" width="11.6640625" style="125" customWidth="1"/>
    <col min="7940" max="7940" width="3.109375" style="125" bestFit="1" customWidth="1"/>
    <col min="7941" max="7941" width="11" style="125" bestFit="1" customWidth="1"/>
    <col min="7942" max="7942" width="34.44140625" style="125" customWidth="1"/>
    <col min="7943" max="8192" width="9.109375" style="125"/>
    <col min="8193" max="8193" width="11" style="125" bestFit="1" customWidth="1"/>
    <col min="8194" max="8194" width="40.44140625" style="125" customWidth="1"/>
    <col min="8195" max="8195" width="11.6640625" style="125" customWidth="1"/>
    <col min="8196" max="8196" width="3.109375" style="125" bestFit="1" customWidth="1"/>
    <col min="8197" max="8197" width="11" style="125" bestFit="1" customWidth="1"/>
    <col min="8198" max="8198" width="34.44140625" style="125" customWidth="1"/>
    <col min="8199" max="8448" width="9.109375" style="125"/>
    <col min="8449" max="8449" width="11" style="125" bestFit="1" customWidth="1"/>
    <col min="8450" max="8450" width="40.44140625" style="125" customWidth="1"/>
    <col min="8451" max="8451" width="11.6640625" style="125" customWidth="1"/>
    <col min="8452" max="8452" width="3.109375" style="125" bestFit="1" customWidth="1"/>
    <col min="8453" max="8453" width="11" style="125" bestFit="1" customWidth="1"/>
    <col min="8454" max="8454" width="34.44140625" style="125" customWidth="1"/>
    <col min="8455" max="8704" width="9.109375" style="125"/>
    <col min="8705" max="8705" width="11" style="125" bestFit="1" customWidth="1"/>
    <col min="8706" max="8706" width="40.44140625" style="125" customWidth="1"/>
    <col min="8707" max="8707" width="11.6640625" style="125" customWidth="1"/>
    <col min="8708" max="8708" width="3.109375" style="125" bestFit="1" customWidth="1"/>
    <col min="8709" max="8709" width="11" style="125" bestFit="1" customWidth="1"/>
    <col min="8710" max="8710" width="34.44140625" style="125" customWidth="1"/>
    <col min="8711" max="8960" width="9.109375" style="125"/>
    <col min="8961" max="8961" width="11" style="125" bestFit="1" customWidth="1"/>
    <col min="8962" max="8962" width="40.44140625" style="125" customWidth="1"/>
    <col min="8963" max="8963" width="11.6640625" style="125" customWidth="1"/>
    <col min="8964" max="8964" width="3.109375" style="125" bestFit="1" customWidth="1"/>
    <col min="8965" max="8965" width="11" style="125" bestFit="1" customWidth="1"/>
    <col min="8966" max="8966" width="34.44140625" style="125" customWidth="1"/>
    <col min="8967" max="9216" width="9.109375" style="125"/>
    <col min="9217" max="9217" width="11" style="125" bestFit="1" customWidth="1"/>
    <col min="9218" max="9218" width="40.44140625" style="125" customWidth="1"/>
    <col min="9219" max="9219" width="11.6640625" style="125" customWidth="1"/>
    <col min="9220" max="9220" width="3.109375" style="125" bestFit="1" customWidth="1"/>
    <col min="9221" max="9221" width="11" style="125" bestFit="1" customWidth="1"/>
    <col min="9222" max="9222" width="34.44140625" style="125" customWidth="1"/>
    <col min="9223" max="9472" width="9.109375" style="125"/>
    <col min="9473" max="9473" width="11" style="125" bestFit="1" customWidth="1"/>
    <col min="9474" max="9474" width="40.44140625" style="125" customWidth="1"/>
    <col min="9475" max="9475" width="11.6640625" style="125" customWidth="1"/>
    <col min="9476" max="9476" width="3.109375" style="125" bestFit="1" customWidth="1"/>
    <col min="9477" max="9477" width="11" style="125" bestFit="1" customWidth="1"/>
    <col min="9478" max="9478" width="34.44140625" style="125" customWidth="1"/>
    <col min="9479" max="9728" width="9.109375" style="125"/>
    <col min="9729" max="9729" width="11" style="125" bestFit="1" customWidth="1"/>
    <col min="9730" max="9730" width="40.44140625" style="125" customWidth="1"/>
    <col min="9731" max="9731" width="11.6640625" style="125" customWidth="1"/>
    <col min="9732" max="9732" width="3.109375" style="125" bestFit="1" customWidth="1"/>
    <col min="9733" max="9733" width="11" style="125" bestFit="1" customWidth="1"/>
    <col min="9734" max="9734" width="34.44140625" style="125" customWidth="1"/>
    <col min="9735" max="9984" width="9.109375" style="125"/>
    <col min="9985" max="9985" width="11" style="125" bestFit="1" customWidth="1"/>
    <col min="9986" max="9986" width="40.44140625" style="125" customWidth="1"/>
    <col min="9987" max="9987" width="11.6640625" style="125" customWidth="1"/>
    <col min="9988" max="9988" width="3.109375" style="125" bestFit="1" customWidth="1"/>
    <col min="9989" max="9989" width="11" style="125" bestFit="1" customWidth="1"/>
    <col min="9990" max="9990" width="34.44140625" style="125" customWidth="1"/>
    <col min="9991" max="10240" width="9.109375" style="125"/>
    <col min="10241" max="10241" width="11" style="125" bestFit="1" customWidth="1"/>
    <col min="10242" max="10242" width="40.44140625" style="125" customWidth="1"/>
    <col min="10243" max="10243" width="11.6640625" style="125" customWidth="1"/>
    <col min="10244" max="10244" width="3.109375" style="125" bestFit="1" customWidth="1"/>
    <col min="10245" max="10245" width="11" style="125" bestFit="1" customWidth="1"/>
    <col min="10246" max="10246" width="34.44140625" style="125" customWidth="1"/>
    <col min="10247" max="10496" width="9.109375" style="125"/>
    <col min="10497" max="10497" width="11" style="125" bestFit="1" customWidth="1"/>
    <col min="10498" max="10498" width="40.44140625" style="125" customWidth="1"/>
    <col min="10499" max="10499" width="11.6640625" style="125" customWidth="1"/>
    <col min="10500" max="10500" width="3.109375" style="125" bestFit="1" customWidth="1"/>
    <col min="10501" max="10501" width="11" style="125" bestFit="1" customWidth="1"/>
    <col min="10502" max="10502" width="34.44140625" style="125" customWidth="1"/>
    <col min="10503" max="10752" width="9.109375" style="125"/>
    <col min="10753" max="10753" width="11" style="125" bestFit="1" customWidth="1"/>
    <col min="10754" max="10754" width="40.44140625" style="125" customWidth="1"/>
    <col min="10755" max="10755" width="11.6640625" style="125" customWidth="1"/>
    <col min="10756" max="10756" width="3.109375" style="125" bestFit="1" customWidth="1"/>
    <col min="10757" max="10757" width="11" style="125" bestFit="1" customWidth="1"/>
    <col min="10758" max="10758" width="34.44140625" style="125" customWidth="1"/>
    <col min="10759" max="11008" width="9.109375" style="125"/>
    <col min="11009" max="11009" width="11" style="125" bestFit="1" customWidth="1"/>
    <col min="11010" max="11010" width="40.44140625" style="125" customWidth="1"/>
    <col min="11011" max="11011" width="11.6640625" style="125" customWidth="1"/>
    <col min="11012" max="11012" width="3.109375" style="125" bestFit="1" customWidth="1"/>
    <col min="11013" max="11013" width="11" style="125" bestFit="1" customWidth="1"/>
    <col min="11014" max="11014" width="34.44140625" style="125" customWidth="1"/>
    <col min="11015" max="11264" width="9.109375" style="125"/>
    <col min="11265" max="11265" width="11" style="125" bestFit="1" customWidth="1"/>
    <col min="11266" max="11266" width="40.44140625" style="125" customWidth="1"/>
    <col min="11267" max="11267" width="11.6640625" style="125" customWidth="1"/>
    <col min="11268" max="11268" width="3.109375" style="125" bestFit="1" customWidth="1"/>
    <col min="11269" max="11269" width="11" style="125" bestFit="1" customWidth="1"/>
    <col min="11270" max="11270" width="34.44140625" style="125" customWidth="1"/>
    <col min="11271" max="11520" width="9.109375" style="125"/>
    <col min="11521" max="11521" width="11" style="125" bestFit="1" customWidth="1"/>
    <col min="11522" max="11522" width="40.44140625" style="125" customWidth="1"/>
    <col min="11523" max="11523" width="11.6640625" style="125" customWidth="1"/>
    <col min="11524" max="11524" width="3.109375" style="125" bestFit="1" customWidth="1"/>
    <col min="11525" max="11525" width="11" style="125" bestFit="1" customWidth="1"/>
    <col min="11526" max="11526" width="34.44140625" style="125" customWidth="1"/>
    <col min="11527" max="11776" width="9.109375" style="125"/>
    <col min="11777" max="11777" width="11" style="125" bestFit="1" customWidth="1"/>
    <col min="11778" max="11778" width="40.44140625" style="125" customWidth="1"/>
    <col min="11779" max="11779" width="11.6640625" style="125" customWidth="1"/>
    <col min="11780" max="11780" width="3.109375" style="125" bestFit="1" customWidth="1"/>
    <col min="11781" max="11781" width="11" style="125" bestFit="1" customWidth="1"/>
    <col min="11782" max="11782" width="34.44140625" style="125" customWidth="1"/>
    <col min="11783" max="12032" width="9.109375" style="125"/>
    <col min="12033" max="12033" width="11" style="125" bestFit="1" customWidth="1"/>
    <col min="12034" max="12034" width="40.44140625" style="125" customWidth="1"/>
    <col min="12035" max="12035" width="11.6640625" style="125" customWidth="1"/>
    <col min="12036" max="12036" width="3.109375" style="125" bestFit="1" customWidth="1"/>
    <col min="12037" max="12037" width="11" style="125" bestFit="1" customWidth="1"/>
    <col min="12038" max="12038" width="34.44140625" style="125" customWidth="1"/>
    <col min="12039" max="12288" width="9.109375" style="125"/>
    <col min="12289" max="12289" width="11" style="125" bestFit="1" customWidth="1"/>
    <col min="12290" max="12290" width="40.44140625" style="125" customWidth="1"/>
    <col min="12291" max="12291" width="11.6640625" style="125" customWidth="1"/>
    <col min="12292" max="12292" width="3.109375" style="125" bestFit="1" customWidth="1"/>
    <col min="12293" max="12293" width="11" style="125" bestFit="1" customWidth="1"/>
    <col min="12294" max="12294" width="34.44140625" style="125" customWidth="1"/>
    <col min="12295" max="12544" width="9.109375" style="125"/>
    <col min="12545" max="12545" width="11" style="125" bestFit="1" customWidth="1"/>
    <col min="12546" max="12546" width="40.44140625" style="125" customWidth="1"/>
    <col min="12547" max="12547" width="11.6640625" style="125" customWidth="1"/>
    <col min="12548" max="12548" width="3.109375" style="125" bestFit="1" customWidth="1"/>
    <col min="12549" max="12549" width="11" style="125" bestFit="1" customWidth="1"/>
    <col min="12550" max="12550" width="34.44140625" style="125" customWidth="1"/>
    <col min="12551" max="12800" width="9.109375" style="125"/>
    <col min="12801" max="12801" width="11" style="125" bestFit="1" customWidth="1"/>
    <col min="12802" max="12802" width="40.44140625" style="125" customWidth="1"/>
    <col min="12803" max="12803" width="11.6640625" style="125" customWidth="1"/>
    <col min="12804" max="12804" width="3.109375" style="125" bestFit="1" customWidth="1"/>
    <col min="12805" max="12805" width="11" style="125" bestFit="1" customWidth="1"/>
    <col min="12806" max="12806" width="34.44140625" style="125" customWidth="1"/>
    <col min="12807" max="13056" width="9.109375" style="125"/>
    <col min="13057" max="13057" width="11" style="125" bestFit="1" customWidth="1"/>
    <col min="13058" max="13058" width="40.44140625" style="125" customWidth="1"/>
    <col min="13059" max="13059" width="11.6640625" style="125" customWidth="1"/>
    <col min="13060" max="13060" width="3.109375" style="125" bestFit="1" customWidth="1"/>
    <col min="13061" max="13061" width="11" style="125" bestFit="1" customWidth="1"/>
    <col min="13062" max="13062" width="34.44140625" style="125" customWidth="1"/>
    <col min="13063" max="13312" width="9.109375" style="125"/>
    <col min="13313" max="13313" width="11" style="125" bestFit="1" customWidth="1"/>
    <col min="13314" max="13314" width="40.44140625" style="125" customWidth="1"/>
    <col min="13315" max="13315" width="11.6640625" style="125" customWidth="1"/>
    <col min="13316" max="13316" width="3.109375" style="125" bestFit="1" customWidth="1"/>
    <col min="13317" max="13317" width="11" style="125" bestFit="1" customWidth="1"/>
    <col min="13318" max="13318" width="34.44140625" style="125" customWidth="1"/>
    <col min="13319" max="13568" width="9.109375" style="125"/>
    <col min="13569" max="13569" width="11" style="125" bestFit="1" customWidth="1"/>
    <col min="13570" max="13570" width="40.44140625" style="125" customWidth="1"/>
    <col min="13571" max="13571" width="11.6640625" style="125" customWidth="1"/>
    <col min="13572" max="13572" width="3.109375" style="125" bestFit="1" customWidth="1"/>
    <col min="13573" max="13573" width="11" style="125" bestFit="1" customWidth="1"/>
    <col min="13574" max="13574" width="34.44140625" style="125" customWidth="1"/>
    <col min="13575" max="13824" width="9.109375" style="125"/>
    <col min="13825" max="13825" width="11" style="125" bestFit="1" customWidth="1"/>
    <col min="13826" max="13826" width="40.44140625" style="125" customWidth="1"/>
    <col min="13827" max="13827" width="11.6640625" style="125" customWidth="1"/>
    <col min="13828" max="13828" width="3.109375" style="125" bestFit="1" customWidth="1"/>
    <col min="13829" max="13829" width="11" style="125" bestFit="1" customWidth="1"/>
    <col min="13830" max="13830" width="34.44140625" style="125" customWidth="1"/>
    <col min="13831" max="14080" width="9.109375" style="125"/>
    <col min="14081" max="14081" width="11" style="125" bestFit="1" customWidth="1"/>
    <col min="14082" max="14082" width="40.44140625" style="125" customWidth="1"/>
    <col min="14083" max="14083" width="11.6640625" style="125" customWidth="1"/>
    <col min="14084" max="14084" width="3.109375" style="125" bestFit="1" customWidth="1"/>
    <col min="14085" max="14085" width="11" style="125" bestFit="1" customWidth="1"/>
    <col min="14086" max="14086" width="34.44140625" style="125" customWidth="1"/>
    <col min="14087" max="14336" width="9.109375" style="125"/>
    <col min="14337" max="14337" width="11" style="125" bestFit="1" customWidth="1"/>
    <col min="14338" max="14338" width="40.44140625" style="125" customWidth="1"/>
    <col min="14339" max="14339" width="11.6640625" style="125" customWidth="1"/>
    <col min="14340" max="14340" width="3.109375" style="125" bestFit="1" customWidth="1"/>
    <col min="14341" max="14341" width="11" style="125" bestFit="1" customWidth="1"/>
    <col min="14342" max="14342" width="34.44140625" style="125" customWidth="1"/>
    <col min="14343" max="14592" width="9.109375" style="125"/>
    <col min="14593" max="14593" width="11" style="125" bestFit="1" customWidth="1"/>
    <col min="14594" max="14594" width="40.44140625" style="125" customWidth="1"/>
    <col min="14595" max="14595" width="11.6640625" style="125" customWidth="1"/>
    <col min="14596" max="14596" width="3.109375" style="125" bestFit="1" customWidth="1"/>
    <col min="14597" max="14597" width="11" style="125" bestFit="1" customWidth="1"/>
    <col min="14598" max="14598" width="34.44140625" style="125" customWidth="1"/>
    <col min="14599" max="14848" width="9.109375" style="125"/>
    <col min="14849" max="14849" width="11" style="125" bestFit="1" customWidth="1"/>
    <col min="14850" max="14850" width="40.44140625" style="125" customWidth="1"/>
    <col min="14851" max="14851" width="11.6640625" style="125" customWidth="1"/>
    <col min="14852" max="14852" width="3.109375" style="125" bestFit="1" customWidth="1"/>
    <col min="14853" max="14853" width="11" style="125" bestFit="1" customWidth="1"/>
    <col min="14854" max="14854" width="34.44140625" style="125" customWidth="1"/>
    <col min="14855" max="15104" width="9.109375" style="125"/>
    <col min="15105" max="15105" width="11" style="125" bestFit="1" customWidth="1"/>
    <col min="15106" max="15106" width="40.44140625" style="125" customWidth="1"/>
    <col min="15107" max="15107" width="11.6640625" style="125" customWidth="1"/>
    <col min="15108" max="15108" width="3.109375" style="125" bestFit="1" customWidth="1"/>
    <col min="15109" max="15109" width="11" style="125" bestFit="1" customWidth="1"/>
    <col min="15110" max="15110" width="34.44140625" style="125" customWidth="1"/>
    <col min="15111" max="15360" width="9.109375" style="125"/>
    <col min="15361" max="15361" width="11" style="125" bestFit="1" customWidth="1"/>
    <col min="15362" max="15362" width="40.44140625" style="125" customWidth="1"/>
    <col min="15363" max="15363" width="11.6640625" style="125" customWidth="1"/>
    <col min="15364" max="15364" width="3.109375" style="125" bestFit="1" customWidth="1"/>
    <col min="15365" max="15365" width="11" style="125" bestFit="1" customWidth="1"/>
    <col min="15366" max="15366" width="34.44140625" style="125" customWidth="1"/>
    <col min="15367" max="15616" width="9.109375" style="125"/>
    <col min="15617" max="15617" width="11" style="125" bestFit="1" customWidth="1"/>
    <col min="15618" max="15618" width="40.44140625" style="125" customWidth="1"/>
    <col min="15619" max="15619" width="11.6640625" style="125" customWidth="1"/>
    <col min="15620" max="15620" width="3.109375" style="125" bestFit="1" customWidth="1"/>
    <col min="15621" max="15621" width="11" style="125" bestFit="1" customWidth="1"/>
    <col min="15622" max="15622" width="34.44140625" style="125" customWidth="1"/>
    <col min="15623" max="15872" width="9.109375" style="125"/>
    <col min="15873" max="15873" width="11" style="125" bestFit="1" customWidth="1"/>
    <col min="15874" max="15874" width="40.44140625" style="125" customWidth="1"/>
    <col min="15875" max="15875" width="11.6640625" style="125" customWidth="1"/>
    <col min="15876" max="15876" width="3.109375" style="125" bestFit="1" customWidth="1"/>
    <col min="15877" max="15877" width="11" style="125" bestFit="1" customWidth="1"/>
    <col min="15878" max="15878" width="34.44140625" style="125" customWidth="1"/>
    <col min="15879" max="16128" width="9.109375" style="125"/>
    <col min="16129" max="16129" width="11" style="125" bestFit="1" customWidth="1"/>
    <col min="16130" max="16130" width="40.44140625" style="125" customWidth="1"/>
    <col min="16131" max="16131" width="11.6640625" style="125" customWidth="1"/>
    <col min="16132" max="16132" width="3.109375" style="125" bestFit="1" customWidth="1"/>
    <col min="16133" max="16133" width="11" style="125" bestFit="1" customWidth="1"/>
    <col min="16134" max="16134" width="34.44140625" style="125" customWidth="1"/>
    <col min="16135" max="16384" width="9.109375" style="125"/>
  </cols>
  <sheetData>
    <row r="1" spans="1:8" s="118" customFormat="1" ht="20.25" customHeight="1" x14ac:dyDescent="0.3">
      <c r="A1" s="345" t="s">
        <v>121</v>
      </c>
      <c r="B1" s="345"/>
      <c r="C1" s="345"/>
      <c r="D1" s="345"/>
      <c r="E1" s="117"/>
      <c r="F1" s="117"/>
      <c r="H1" s="119"/>
    </row>
    <row r="2" spans="1:8" s="121" customFormat="1" x14ac:dyDescent="0.25">
      <c r="A2" s="182"/>
      <c r="B2" s="182"/>
      <c r="C2" s="182"/>
      <c r="D2" s="182"/>
      <c r="E2" s="120"/>
      <c r="F2" s="120"/>
      <c r="H2" s="122"/>
    </row>
    <row r="3" spans="1:8" s="123" customFormat="1" x14ac:dyDescent="0.25">
      <c r="A3" s="149" t="s">
        <v>122</v>
      </c>
      <c r="B3" s="346" t="s">
        <v>123</v>
      </c>
      <c r="C3" s="346"/>
      <c r="D3" s="346"/>
      <c r="E3" s="120"/>
    </row>
    <row r="4" spans="1:8" s="123" customFormat="1" x14ac:dyDescent="0.25">
      <c r="A4" s="149" t="s">
        <v>124</v>
      </c>
      <c r="B4" s="346" t="s">
        <v>139</v>
      </c>
      <c r="C4" s="346"/>
      <c r="D4" s="346"/>
      <c r="E4" s="120"/>
    </row>
    <row r="5" spans="1:8" s="123" customFormat="1" x14ac:dyDescent="0.25">
      <c r="A5" s="149" t="s">
        <v>125</v>
      </c>
      <c r="B5" s="183"/>
      <c r="C5" s="184"/>
      <c r="D5" s="185"/>
      <c r="E5" s="120"/>
    </row>
    <row r="6" spans="1:8" s="123" customFormat="1" x14ac:dyDescent="0.25">
      <c r="A6" s="186"/>
      <c r="B6" s="187"/>
      <c r="C6" s="184"/>
      <c r="D6" s="185"/>
      <c r="E6" s="120"/>
    </row>
    <row r="7" spans="1:8" s="124" customFormat="1" x14ac:dyDescent="0.25">
      <c r="A7" s="186"/>
      <c r="B7" s="187"/>
      <c r="C7" s="188"/>
      <c r="D7" s="189"/>
      <c r="E7" s="120"/>
    </row>
    <row r="8" spans="1:8" x14ac:dyDescent="0.25">
      <c r="A8" s="340" t="s">
        <v>126</v>
      </c>
      <c r="B8" s="340"/>
      <c r="C8" s="340"/>
      <c r="D8" s="340"/>
    </row>
    <row r="9" spans="1:8" s="126" customFormat="1" ht="10.8" x14ac:dyDescent="0.25">
      <c r="A9" s="190"/>
      <c r="B9" s="191"/>
      <c r="C9" s="192"/>
      <c r="D9" s="193"/>
    </row>
    <row r="10" spans="1:8" x14ac:dyDescent="0.25">
      <c r="B10" s="194" t="s">
        <v>127</v>
      </c>
      <c r="C10" s="192"/>
      <c r="D10" s="193"/>
    </row>
    <row r="11" spans="1:8" x14ac:dyDescent="0.25">
      <c r="B11" s="195"/>
      <c r="C11" s="192"/>
      <c r="D11" s="193"/>
    </row>
    <row r="12" spans="1:8" x14ac:dyDescent="0.25">
      <c r="A12" s="340" t="s">
        <v>128</v>
      </c>
      <c r="B12" s="340"/>
      <c r="C12" s="340"/>
      <c r="D12" s="340"/>
    </row>
    <row r="13" spans="1:8" s="126" customFormat="1" ht="10.8" x14ac:dyDescent="0.25">
      <c r="A13" s="190"/>
      <c r="B13" s="195"/>
      <c r="C13" s="192"/>
      <c r="D13" s="193"/>
    </row>
    <row r="14" spans="1:8" x14ac:dyDescent="0.25">
      <c r="B14" s="194" t="s">
        <v>129</v>
      </c>
      <c r="C14" s="192"/>
      <c r="D14" s="193"/>
    </row>
    <row r="15" spans="1:8" x14ac:dyDescent="0.25">
      <c r="B15" s="196"/>
      <c r="D15" s="197"/>
      <c r="E15" s="127"/>
      <c r="F15" s="127"/>
    </row>
    <row r="16" spans="1:8" x14ac:dyDescent="0.25">
      <c r="A16" s="340" t="s">
        <v>130</v>
      </c>
      <c r="B16" s="340"/>
      <c r="C16" s="340"/>
      <c r="D16" s="340"/>
    </row>
    <row r="17" spans="1:6" s="126" customFormat="1" ht="10.8" x14ac:dyDescent="0.25">
      <c r="A17" s="190"/>
      <c r="B17" s="195"/>
      <c r="C17" s="192"/>
      <c r="D17" s="198"/>
    </row>
    <row r="18" spans="1:6" x14ac:dyDescent="0.25">
      <c r="A18" s="199"/>
      <c r="B18" s="200" t="s">
        <v>193</v>
      </c>
      <c r="C18" s="201">
        <v>4</v>
      </c>
      <c r="D18" s="202" t="s">
        <v>24</v>
      </c>
      <c r="F18" s="128"/>
    </row>
    <row r="19" spans="1:6" x14ac:dyDescent="0.25">
      <c r="A19" s="199"/>
      <c r="B19" s="200" t="s">
        <v>194</v>
      </c>
      <c r="C19" s="201">
        <v>0.7</v>
      </c>
      <c r="D19" s="202" t="s">
        <v>24</v>
      </c>
      <c r="F19" s="128"/>
    </row>
    <row r="20" spans="1:6" x14ac:dyDescent="0.25">
      <c r="A20" s="199"/>
      <c r="B20" s="200" t="s">
        <v>195</v>
      </c>
      <c r="C20" s="201">
        <v>0.42</v>
      </c>
      <c r="D20" s="202" t="s">
        <v>24</v>
      </c>
      <c r="F20" s="128"/>
    </row>
    <row r="21" spans="1:6" x14ac:dyDescent="0.25">
      <c r="A21" s="199"/>
      <c r="B21" s="200" t="s">
        <v>196</v>
      </c>
      <c r="C21" s="201">
        <v>0.63</v>
      </c>
      <c r="D21" s="202" t="s">
        <v>24</v>
      </c>
      <c r="F21" s="128"/>
    </row>
    <row r="22" spans="1:6" x14ac:dyDescent="0.25">
      <c r="A22" s="203"/>
      <c r="B22" s="204"/>
      <c r="C22" s="205"/>
      <c r="D22" s="206"/>
      <c r="E22" s="129"/>
      <c r="F22" s="128"/>
    </row>
    <row r="23" spans="1:6" x14ac:dyDescent="0.25">
      <c r="A23" s="199"/>
      <c r="B23" s="200" t="s">
        <v>197</v>
      </c>
      <c r="C23" s="201">
        <v>5.5</v>
      </c>
      <c r="D23" s="202" t="s">
        <v>24</v>
      </c>
      <c r="F23" s="128"/>
    </row>
    <row r="24" spans="1:6" ht="12.75" customHeight="1" x14ac:dyDescent="0.25">
      <c r="C24" s="207"/>
      <c r="D24" s="208"/>
    </row>
    <row r="25" spans="1:6" ht="12.75" customHeight="1" x14ac:dyDescent="0.25">
      <c r="A25" s="340" t="s">
        <v>131</v>
      </c>
      <c r="B25" s="340"/>
      <c r="C25" s="340"/>
      <c r="D25" s="340"/>
    </row>
    <row r="26" spans="1:6" s="126" customFormat="1" ht="10.8" x14ac:dyDescent="0.25">
      <c r="A26" s="190"/>
      <c r="B26" s="195"/>
      <c r="C26" s="209"/>
      <c r="D26" s="210"/>
    </row>
    <row r="27" spans="1:6" x14ac:dyDescent="0.25">
      <c r="A27" s="199"/>
      <c r="B27" s="211" t="s">
        <v>132</v>
      </c>
      <c r="C27" s="212">
        <f>C28+C29+C30+C31</f>
        <v>13.15</v>
      </c>
      <c r="D27" s="213" t="s">
        <v>24</v>
      </c>
      <c r="F27" s="128"/>
    </row>
    <row r="28" spans="1:6" x14ac:dyDescent="0.25">
      <c r="B28" s="214" t="s">
        <v>133</v>
      </c>
      <c r="C28" s="201">
        <v>5</v>
      </c>
      <c r="D28" s="202" t="s">
        <v>24</v>
      </c>
      <c r="F28" s="128"/>
    </row>
    <row r="29" spans="1:6" x14ac:dyDescent="0.25">
      <c r="B29" s="214" t="s">
        <v>134</v>
      </c>
      <c r="C29" s="215">
        <v>3</v>
      </c>
      <c r="D29" s="216" t="s">
        <v>24</v>
      </c>
      <c r="F29" s="128"/>
    </row>
    <row r="30" spans="1:6" ht="12.75" customHeight="1" x14ac:dyDescent="0.25">
      <c r="B30" s="214" t="s">
        <v>135</v>
      </c>
      <c r="C30" s="215">
        <v>0.65</v>
      </c>
      <c r="D30" s="216" t="s">
        <v>24</v>
      </c>
    </row>
    <row r="31" spans="1:6" ht="12.75" customHeight="1" x14ac:dyDescent="0.25">
      <c r="B31" s="214" t="s">
        <v>136</v>
      </c>
      <c r="C31" s="215">
        <f>IF(B10="Com Desoneração",4.5,0)</f>
        <v>4.5</v>
      </c>
      <c r="D31" s="202" t="s">
        <v>24</v>
      </c>
    </row>
    <row r="32" spans="1:6" ht="12.75" customHeight="1" x14ac:dyDescent="0.25">
      <c r="D32" s="197"/>
    </row>
    <row r="33" spans="1:6" x14ac:dyDescent="0.25">
      <c r="A33" s="340" t="s">
        <v>137</v>
      </c>
      <c r="B33" s="340"/>
      <c r="C33" s="340"/>
      <c r="D33" s="340"/>
    </row>
    <row r="34" spans="1:6" s="126" customFormat="1" ht="10.8" x14ac:dyDescent="0.25">
      <c r="A34" s="190"/>
      <c r="B34" s="195"/>
      <c r="C34" s="192"/>
      <c r="D34" s="193"/>
    </row>
    <row r="35" spans="1:6" ht="12.75" customHeight="1" x14ac:dyDescent="0.25">
      <c r="B35" s="207" t="s">
        <v>198</v>
      </c>
      <c r="C35" s="341">
        <f>ROUND((((1+($C$18/100)+($C$20/100)+($C$19/100))*(1+($C$21/100))*(1+($C$23/100)))/(1-$C$27/100)-1),4)</f>
        <v>0.28499999999999998</v>
      </c>
      <c r="D35" s="342"/>
      <c r="F35" s="130" t="str">
        <f>[2]Auxiliar!A17</f>
        <v>Atende</v>
      </c>
    </row>
    <row r="36" spans="1:6" ht="12.75" customHeight="1" x14ac:dyDescent="0.3">
      <c r="B36" s="196" t="s">
        <v>138</v>
      </c>
      <c r="C36" s="343"/>
      <c r="D36" s="344"/>
      <c r="F36" s="131"/>
    </row>
    <row r="37" spans="1:6" x14ac:dyDescent="0.25">
      <c r="C37" s="217"/>
    </row>
    <row r="38" spans="1:6" ht="45.75" customHeight="1" x14ac:dyDescent="0.25">
      <c r="A38" s="219"/>
      <c r="B38" s="219"/>
      <c r="C38" s="220"/>
      <c r="D38" s="220"/>
    </row>
    <row r="39" spans="1:6" x14ac:dyDescent="0.25">
      <c r="B39" s="221" t="s">
        <v>182</v>
      </c>
      <c r="C39" s="220"/>
      <c r="D39" s="220"/>
    </row>
    <row r="40" spans="1:6" ht="12.75" customHeight="1" x14ac:dyDescent="0.25">
      <c r="B40" s="222" t="s">
        <v>183</v>
      </c>
      <c r="C40" s="220"/>
      <c r="D40" s="220"/>
    </row>
  </sheetData>
  <sheetProtection selectLockedCells="1" autoFilter="0"/>
  <protectedRanges>
    <protectedRange sqref="C18:C21" name="Intervalo1"/>
    <protectedRange sqref="C22:C23 C28:C31" name="Intervalo2"/>
  </protectedRanges>
  <mergeCells count="9">
    <mergeCell ref="A25:D25"/>
    <mergeCell ref="A33:D33"/>
    <mergeCell ref="C35:D36"/>
    <mergeCell ref="A1:D1"/>
    <mergeCell ref="B3:D3"/>
    <mergeCell ref="B4:D4"/>
    <mergeCell ref="A8:D8"/>
    <mergeCell ref="A12:D12"/>
    <mergeCell ref="A16:D16"/>
  </mergeCells>
  <conditionalFormatting sqref="F35">
    <cfRule type="cellIs" dxfId="0" priority="1" stopIfTrue="1" operator="equal">
      <formula>"Atende"</formula>
    </cfRule>
  </conditionalFormatting>
  <dataValidations count="2">
    <dataValidation type="list" allowBlank="1" showInputMessage="1" showErrorMessage="1" sqref="B10 IX10 ST10 ACP10 AML10 AWH10 BGD10 BPZ10 BZV10 CJR10 CTN10 DDJ10 DNF10 DXB10 EGX10 EQT10 FAP10 FKL10 FUH10 GED10 GNZ10 GXV10 HHR10 HRN10 IBJ10 ILF10 IVB10 JEX10 JOT10 JYP10 KIL10 KSH10 LCD10 LLZ10 LVV10 MFR10 MPN10 MZJ10 NJF10 NTB10 OCX10 OMT10 OWP10 PGL10 PQH10 QAD10 QJZ10 QTV10 RDR10 RNN10 RXJ10 SHF10 SRB10 TAX10 TKT10 TUP10 UEL10 UOH10 UYD10 VHZ10 VRV10 WBR10 WLN10 WVJ10 B65543 IX65543 ST65543 ACP65543 AML65543 AWH65543 BGD65543 BPZ65543 BZV65543 CJR65543 CTN65543 DDJ65543 DNF65543 DXB65543 EGX65543 EQT65543 FAP65543 FKL65543 FUH65543 GED65543 GNZ65543 GXV65543 HHR65543 HRN65543 IBJ65543 ILF65543 IVB65543 JEX65543 JOT65543 JYP65543 KIL65543 KSH65543 LCD65543 LLZ65543 LVV65543 MFR65543 MPN65543 MZJ65543 NJF65543 NTB65543 OCX65543 OMT65543 OWP65543 PGL65543 PQH65543 QAD65543 QJZ65543 QTV65543 RDR65543 RNN65543 RXJ65543 SHF65543 SRB65543 TAX65543 TKT65543 TUP65543 UEL65543 UOH65543 UYD65543 VHZ65543 VRV65543 WBR65543 WLN65543 WVJ65543 B131079 IX131079 ST131079 ACP131079 AML131079 AWH131079 BGD131079 BPZ131079 BZV131079 CJR131079 CTN131079 DDJ131079 DNF131079 DXB131079 EGX131079 EQT131079 FAP131079 FKL131079 FUH131079 GED131079 GNZ131079 GXV131079 HHR131079 HRN131079 IBJ131079 ILF131079 IVB131079 JEX131079 JOT131079 JYP131079 KIL131079 KSH131079 LCD131079 LLZ131079 LVV131079 MFR131079 MPN131079 MZJ131079 NJF131079 NTB131079 OCX131079 OMT131079 OWP131079 PGL131079 PQH131079 QAD131079 QJZ131079 QTV131079 RDR131079 RNN131079 RXJ131079 SHF131079 SRB131079 TAX131079 TKT131079 TUP131079 UEL131079 UOH131079 UYD131079 VHZ131079 VRV131079 WBR131079 WLN131079 WVJ131079 B196615 IX196615 ST196615 ACP196615 AML196615 AWH196615 BGD196615 BPZ196615 BZV196615 CJR196615 CTN196615 DDJ196615 DNF196615 DXB196615 EGX196615 EQT196615 FAP196615 FKL196615 FUH196615 GED196615 GNZ196615 GXV196615 HHR196615 HRN196615 IBJ196615 ILF196615 IVB196615 JEX196615 JOT196615 JYP196615 KIL196615 KSH196615 LCD196615 LLZ196615 LVV196615 MFR196615 MPN196615 MZJ196615 NJF196615 NTB196615 OCX196615 OMT196615 OWP196615 PGL196615 PQH196615 QAD196615 QJZ196615 QTV196615 RDR196615 RNN196615 RXJ196615 SHF196615 SRB196615 TAX196615 TKT196615 TUP196615 UEL196615 UOH196615 UYD196615 VHZ196615 VRV196615 WBR196615 WLN196615 WVJ196615 B262151 IX262151 ST262151 ACP262151 AML262151 AWH262151 BGD262151 BPZ262151 BZV262151 CJR262151 CTN262151 DDJ262151 DNF262151 DXB262151 EGX262151 EQT262151 FAP262151 FKL262151 FUH262151 GED262151 GNZ262151 GXV262151 HHR262151 HRN262151 IBJ262151 ILF262151 IVB262151 JEX262151 JOT262151 JYP262151 KIL262151 KSH262151 LCD262151 LLZ262151 LVV262151 MFR262151 MPN262151 MZJ262151 NJF262151 NTB262151 OCX262151 OMT262151 OWP262151 PGL262151 PQH262151 QAD262151 QJZ262151 QTV262151 RDR262151 RNN262151 RXJ262151 SHF262151 SRB262151 TAX262151 TKT262151 TUP262151 UEL262151 UOH262151 UYD262151 VHZ262151 VRV262151 WBR262151 WLN262151 WVJ262151 B327687 IX327687 ST327687 ACP327687 AML327687 AWH327687 BGD327687 BPZ327687 BZV327687 CJR327687 CTN327687 DDJ327687 DNF327687 DXB327687 EGX327687 EQT327687 FAP327687 FKL327687 FUH327687 GED327687 GNZ327687 GXV327687 HHR327687 HRN327687 IBJ327687 ILF327687 IVB327687 JEX327687 JOT327687 JYP327687 KIL327687 KSH327687 LCD327687 LLZ327687 LVV327687 MFR327687 MPN327687 MZJ327687 NJF327687 NTB327687 OCX327687 OMT327687 OWP327687 PGL327687 PQH327687 QAD327687 QJZ327687 QTV327687 RDR327687 RNN327687 RXJ327687 SHF327687 SRB327687 TAX327687 TKT327687 TUP327687 UEL327687 UOH327687 UYD327687 VHZ327687 VRV327687 WBR327687 WLN327687 WVJ327687 B393223 IX393223 ST393223 ACP393223 AML393223 AWH393223 BGD393223 BPZ393223 BZV393223 CJR393223 CTN393223 DDJ393223 DNF393223 DXB393223 EGX393223 EQT393223 FAP393223 FKL393223 FUH393223 GED393223 GNZ393223 GXV393223 HHR393223 HRN393223 IBJ393223 ILF393223 IVB393223 JEX393223 JOT393223 JYP393223 KIL393223 KSH393223 LCD393223 LLZ393223 LVV393223 MFR393223 MPN393223 MZJ393223 NJF393223 NTB393223 OCX393223 OMT393223 OWP393223 PGL393223 PQH393223 QAD393223 QJZ393223 QTV393223 RDR393223 RNN393223 RXJ393223 SHF393223 SRB393223 TAX393223 TKT393223 TUP393223 UEL393223 UOH393223 UYD393223 VHZ393223 VRV393223 WBR393223 WLN393223 WVJ393223 B458759 IX458759 ST458759 ACP458759 AML458759 AWH458759 BGD458759 BPZ458759 BZV458759 CJR458759 CTN458759 DDJ458759 DNF458759 DXB458759 EGX458759 EQT458759 FAP458759 FKL458759 FUH458759 GED458759 GNZ458759 GXV458759 HHR458759 HRN458759 IBJ458759 ILF458759 IVB458759 JEX458759 JOT458759 JYP458759 KIL458759 KSH458759 LCD458759 LLZ458759 LVV458759 MFR458759 MPN458759 MZJ458759 NJF458759 NTB458759 OCX458759 OMT458759 OWP458759 PGL458759 PQH458759 QAD458759 QJZ458759 QTV458759 RDR458759 RNN458759 RXJ458759 SHF458759 SRB458759 TAX458759 TKT458759 TUP458759 UEL458759 UOH458759 UYD458759 VHZ458759 VRV458759 WBR458759 WLN458759 WVJ458759 B524295 IX524295 ST524295 ACP524295 AML524295 AWH524295 BGD524295 BPZ524295 BZV524295 CJR524295 CTN524295 DDJ524295 DNF524295 DXB524295 EGX524295 EQT524295 FAP524295 FKL524295 FUH524295 GED524295 GNZ524295 GXV524295 HHR524295 HRN524295 IBJ524295 ILF524295 IVB524295 JEX524295 JOT524295 JYP524295 KIL524295 KSH524295 LCD524295 LLZ524295 LVV524295 MFR524295 MPN524295 MZJ524295 NJF524295 NTB524295 OCX524295 OMT524295 OWP524295 PGL524295 PQH524295 QAD524295 QJZ524295 QTV524295 RDR524295 RNN524295 RXJ524295 SHF524295 SRB524295 TAX524295 TKT524295 TUP524295 UEL524295 UOH524295 UYD524295 VHZ524295 VRV524295 WBR524295 WLN524295 WVJ524295 B589831 IX589831 ST589831 ACP589831 AML589831 AWH589831 BGD589831 BPZ589831 BZV589831 CJR589831 CTN589831 DDJ589831 DNF589831 DXB589831 EGX589831 EQT589831 FAP589831 FKL589831 FUH589831 GED589831 GNZ589831 GXV589831 HHR589831 HRN589831 IBJ589831 ILF589831 IVB589831 JEX589831 JOT589831 JYP589831 KIL589831 KSH589831 LCD589831 LLZ589831 LVV589831 MFR589831 MPN589831 MZJ589831 NJF589831 NTB589831 OCX589831 OMT589831 OWP589831 PGL589831 PQH589831 QAD589831 QJZ589831 QTV589831 RDR589831 RNN589831 RXJ589831 SHF589831 SRB589831 TAX589831 TKT589831 TUP589831 UEL589831 UOH589831 UYD589831 VHZ589831 VRV589831 WBR589831 WLN589831 WVJ589831 B655367 IX655367 ST655367 ACP655367 AML655367 AWH655367 BGD655367 BPZ655367 BZV655367 CJR655367 CTN655367 DDJ655367 DNF655367 DXB655367 EGX655367 EQT655367 FAP655367 FKL655367 FUH655367 GED655367 GNZ655367 GXV655367 HHR655367 HRN655367 IBJ655367 ILF655367 IVB655367 JEX655367 JOT655367 JYP655367 KIL655367 KSH655367 LCD655367 LLZ655367 LVV655367 MFR655367 MPN655367 MZJ655367 NJF655367 NTB655367 OCX655367 OMT655367 OWP655367 PGL655367 PQH655367 QAD655367 QJZ655367 QTV655367 RDR655367 RNN655367 RXJ655367 SHF655367 SRB655367 TAX655367 TKT655367 TUP655367 UEL655367 UOH655367 UYD655367 VHZ655367 VRV655367 WBR655367 WLN655367 WVJ655367 B720903 IX720903 ST720903 ACP720903 AML720903 AWH720903 BGD720903 BPZ720903 BZV720903 CJR720903 CTN720903 DDJ720903 DNF720903 DXB720903 EGX720903 EQT720903 FAP720903 FKL720903 FUH720903 GED720903 GNZ720903 GXV720903 HHR720903 HRN720903 IBJ720903 ILF720903 IVB720903 JEX720903 JOT720903 JYP720903 KIL720903 KSH720903 LCD720903 LLZ720903 LVV720903 MFR720903 MPN720903 MZJ720903 NJF720903 NTB720903 OCX720903 OMT720903 OWP720903 PGL720903 PQH720903 QAD720903 QJZ720903 QTV720903 RDR720903 RNN720903 RXJ720903 SHF720903 SRB720903 TAX720903 TKT720903 TUP720903 UEL720903 UOH720903 UYD720903 VHZ720903 VRV720903 WBR720903 WLN720903 WVJ720903 B786439 IX786439 ST786439 ACP786439 AML786439 AWH786439 BGD786439 BPZ786439 BZV786439 CJR786439 CTN786439 DDJ786439 DNF786439 DXB786439 EGX786439 EQT786439 FAP786439 FKL786439 FUH786439 GED786439 GNZ786439 GXV786439 HHR786439 HRN786439 IBJ786439 ILF786439 IVB786439 JEX786439 JOT786439 JYP786439 KIL786439 KSH786439 LCD786439 LLZ786439 LVV786439 MFR786439 MPN786439 MZJ786439 NJF786439 NTB786439 OCX786439 OMT786439 OWP786439 PGL786439 PQH786439 QAD786439 QJZ786439 QTV786439 RDR786439 RNN786439 RXJ786439 SHF786439 SRB786439 TAX786439 TKT786439 TUP786439 UEL786439 UOH786439 UYD786439 VHZ786439 VRV786439 WBR786439 WLN786439 WVJ786439 B851975 IX851975 ST851975 ACP851975 AML851975 AWH851975 BGD851975 BPZ851975 BZV851975 CJR851975 CTN851975 DDJ851975 DNF851975 DXB851975 EGX851975 EQT851975 FAP851975 FKL851975 FUH851975 GED851975 GNZ851975 GXV851975 HHR851975 HRN851975 IBJ851975 ILF851975 IVB851975 JEX851975 JOT851975 JYP851975 KIL851975 KSH851975 LCD851975 LLZ851975 LVV851975 MFR851975 MPN851975 MZJ851975 NJF851975 NTB851975 OCX851975 OMT851975 OWP851975 PGL851975 PQH851975 QAD851975 QJZ851975 QTV851975 RDR851975 RNN851975 RXJ851975 SHF851975 SRB851975 TAX851975 TKT851975 TUP851975 UEL851975 UOH851975 UYD851975 VHZ851975 VRV851975 WBR851975 WLN851975 WVJ851975 B917511 IX917511 ST917511 ACP917511 AML917511 AWH917511 BGD917511 BPZ917511 BZV917511 CJR917511 CTN917511 DDJ917511 DNF917511 DXB917511 EGX917511 EQT917511 FAP917511 FKL917511 FUH917511 GED917511 GNZ917511 GXV917511 HHR917511 HRN917511 IBJ917511 ILF917511 IVB917511 JEX917511 JOT917511 JYP917511 KIL917511 KSH917511 LCD917511 LLZ917511 LVV917511 MFR917511 MPN917511 MZJ917511 NJF917511 NTB917511 OCX917511 OMT917511 OWP917511 PGL917511 PQH917511 QAD917511 QJZ917511 QTV917511 RDR917511 RNN917511 RXJ917511 SHF917511 SRB917511 TAX917511 TKT917511 TUP917511 UEL917511 UOH917511 UYD917511 VHZ917511 VRV917511 WBR917511 WLN917511 WVJ917511 B983047 IX983047 ST983047 ACP983047 AML983047 AWH983047 BGD983047 BPZ983047 BZV983047 CJR983047 CTN983047 DDJ983047 DNF983047 DXB983047 EGX983047 EQT983047 FAP983047 FKL983047 FUH983047 GED983047 GNZ983047 GXV983047 HHR983047 HRN983047 IBJ983047 ILF983047 IVB983047 JEX983047 JOT983047 JYP983047 KIL983047 KSH983047 LCD983047 LLZ983047 LVV983047 MFR983047 MPN983047 MZJ983047 NJF983047 NTB983047 OCX983047 OMT983047 OWP983047 PGL983047 PQH983047 QAD983047 QJZ983047 QTV983047 RDR983047 RNN983047 RXJ983047 SHF983047 SRB983047 TAX983047 TKT983047 TUP983047 UEL983047 UOH983047 UYD983047 VHZ983047 VRV983047 WBR983047 WLN983047 WVJ983047" xr:uid="{1A07538E-5DFF-4553-B7CB-BE0E87C08733}">
      <formula1>"Com Desoneração, Sem Desoneração"</formula1>
    </dataValidation>
    <dataValidation type="list" allowBlank="1" showInputMessage="1" showErrorMessage="1" sqref="B14 IX14 ST14 ACP14 AML14 AWH14 BGD14 BPZ14 BZV14 CJR14 CTN14 DDJ14 DNF14 DXB14 EGX14 EQT14 FAP14 FKL14 FUH14 GED14 GNZ14 GXV14 HHR14 HRN14 IBJ14 ILF14 IVB14 JEX14 JOT14 JYP14 KIL14 KSH14 LCD14 LLZ14 LVV14 MFR14 MPN14 MZJ14 NJF14 NTB14 OCX14 OMT14 OWP14 PGL14 PQH14 QAD14 QJZ14 QTV14 RDR14 RNN14 RXJ14 SHF14 SRB14 TAX14 TKT14 TUP14 UEL14 UOH14 UYD14 VHZ14 VRV14 WBR14 WLN14 WVJ14 B65547 IX65547 ST65547 ACP65547 AML65547 AWH65547 BGD65547 BPZ65547 BZV65547 CJR65547 CTN65547 DDJ65547 DNF65547 DXB65547 EGX65547 EQT65547 FAP65547 FKL65547 FUH65547 GED65547 GNZ65547 GXV65547 HHR65547 HRN65547 IBJ65547 ILF65547 IVB65547 JEX65547 JOT65547 JYP65547 KIL65547 KSH65547 LCD65547 LLZ65547 LVV65547 MFR65547 MPN65547 MZJ65547 NJF65547 NTB65547 OCX65547 OMT65547 OWP65547 PGL65547 PQH65547 QAD65547 QJZ65547 QTV65547 RDR65547 RNN65547 RXJ65547 SHF65547 SRB65547 TAX65547 TKT65547 TUP65547 UEL65547 UOH65547 UYD65547 VHZ65547 VRV65547 WBR65547 WLN65547 WVJ65547 B131083 IX131083 ST131083 ACP131083 AML131083 AWH131083 BGD131083 BPZ131083 BZV131083 CJR131083 CTN131083 DDJ131083 DNF131083 DXB131083 EGX131083 EQT131083 FAP131083 FKL131083 FUH131083 GED131083 GNZ131083 GXV131083 HHR131083 HRN131083 IBJ131083 ILF131083 IVB131083 JEX131083 JOT131083 JYP131083 KIL131083 KSH131083 LCD131083 LLZ131083 LVV131083 MFR131083 MPN131083 MZJ131083 NJF131083 NTB131083 OCX131083 OMT131083 OWP131083 PGL131083 PQH131083 QAD131083 QJZ131083 QTV131083 RDR131083 RNN131083 RXJ131083 SHF131083 SRB131083 TAX131083 TKT131083 TUP131083 UEL131083 UOH131083 UYD131083 VHZ131083 VRV131083 WBR131083 WLN131083 WVJ131083 B196619 IX196619 ST196619 ACP196619 AML196619 AWH196619 BGD196619 BPZ196619 BZV196619 CJR196619 CTN196619 DDJ196619 DNF196619 DXB196619 EGX196619 EQT196619 FAP196619 FKL196619 FUH196619 GED196619 GNZ196619 GXV196619 HHR196619 HRN196619 IBJ196619 ILF196619 IVB196619 JEX196619 JOT196619 JYP196619 KIL196619 KSH196619 LCD196619 LLZ196619 LVV196619 MFR196619 MPN196619 MZJ196619 NJF196619 NTB196619 OCX196619 OMT196619 OWP196619 PGL196619 PQH196619 QAD196619 QJZ196619 QTV196619 RDR196619 RNN196619 RXJ196619 SHF196619 SRB196619 TAX196619 TKT196619 TUP196619 UEL196619 UOH196619 UYD196619 VHZ196619 VRV196619 WBR196619 WLN196619 WVJ196619 B262155 IX262155 ST262155 ACP262155 AML262155 AWH262155 BGD262155 BPZ262155 BZV262155 CJR262155 CTN262155 DDJ262155 DNF262155 DXB262155 EGX262155 EQT262155 FAP262155 FKL262155 FUH262155 GED262155 GNZ262155 GXV262155 HHR262155 HRN262155 IBJ262155 ILF262155 IVB262155 JEX262155 JOT262155 JYP262155 KIL262155 KSH262155 LCD262155 LLZ262155 LVV262155 MFR262155 MPN262155 MZJ262155 NJF262155 NTB262155 OCX262155 OMT262155 OWP262155 PGL262155 PQH262155 QAD262155 QJZ262155 QTV262155 RDR262155 RNN262155 RXJ262155 SHF262155 SRB262155 TAX262155 TKT262155 TUP262155 UEL262155 UOH262155 UYD262155 VHZ262155 VRV262155 WBR262155 WLN262155 WVJ262155 B327691 IX327691 ST327691 ACP327691 AML327691 AWH327691 BGD327691 BPZ327691 BZV327691 CJR327691 CTN327691 DDJ327691 DNF327691 DXB327691 EGX327691 EQT327691 FAP327691 FKL327691 FUH327691 GED327691 GNZ327691 GXV327691 HHR327691 HRN327691 IBJ327691 ILF327691 IVB327691 JEX327691 JOT327691 JYP327691 KIL327691 KSH327691 LCD327691 LLZ327691 LVV327691 MFR327691 MPN327691 MZJ327691 NJF327691 NTB327691 OCX327691 OMT327691 OWP327691 PGL327691 PQH327691 QAD327691 QJZ327691 QTV327691 RDR327691 RNN327691 RXJ327691 SHF327691 SRB327691 TAX327691 TKT327691 TUP327691 UEL327691 UOH327691 UYD327691 VHZ327691 VRV327691 WBR327691 WLN327691 WVJ327691 B393227 IX393227 ST393227 ACP393227 AML393227 AWH393227 BGD393227 BPZ393227 BZV393227 CJR393227 CTN393227 DDJ393227 DNF393227 DXB393227 EGX393227 EQT393227 FAP393227 FKL393227 FUH393227 GED393227 GNZ393227 GXV393227 HHR393227 HRN393227 IBJ393227 ILF393227 IVB393227 JEX393227 JOT393227 JYP393227 KIL393227 KSH393227 LCD393227 LLZ393227 LVV393227 MFR393227 MPN393227 MZJ393227 NJF393227 NTB393227 OCX393227 OMT393227 OWP393227 PGL393227 PQH393227 QAD393227 QJZ393227 QTV393227 RDR393227 RNN393227 RXJ393227 SHF393227 SRB393227 TAX393227 TKT393227 TUP393227 UEL393227 UOH393227 UYD393227 VHZ393227 VRV393227 WBR393227 WLN393227 WVJ393227 B458763 IX458763 ST458763 ACP458763 AML458763 AWH458763 BGD458763 BPZ458763 BZV458763 CJR458763 CTN458763 DDJ458763 DNF458763 DXB458763 EGX458763 EQT458763 FAP458763 FKL458763 FUH458763 GED458763 GNZ458763 GXV458763 HHR458763 HRN458763 IBJ458763 ILF458763 IVB458763 JEX458763 JOT458763 JYP458763 KIL458763 KSH458763 LCD458763 LLZ458763 LVV458763 MFR458763 MPN458763 MZJ458763 NJF458763 NTB458763 OCX458763 OMT458763 OWP458763 PGL458763 PQH458763 QAD458763 QJZ458763 QTV458763 RDR458763 RNN458763 RXJ458763 SHF458763 SRB458763 TAX458763 TKT458763 TUP458763 UEL458763 UOH458763 UYD458763 VHZ458763 VRV458763 WBR458763 WLN458763 WVJ458763 B524299 IX524299 ST524299 ACP524299 AML524299 AWH524299 BGD524299 BPZ524299 BZV524299 CJR524299 CTN524299 DDJ524299 DNF524299 DXB524299 EGX524299 EQT524299 FAP524299 FKL524299 FUH524299 GED524299 GNZ524299 GXV524299 HHR524299 HRN524299 IBJ524299 ILF524299 IVB524299 JEX524299 JOT524299 JYP524299 KIL524299 KSH524299 LCD524299 LLZ524299 LVV524299 MFR524299 MPN524299 MZJ524299 NJF524299 NTB524299 OCX524299 OMT524299 OWP524299 PGL524299 PQH524299 QAD524299 QJZ524299 QTV524299 RDR524299 RNN524299 RXJ524299 SHF524299 SRB524299 TAX524299 TKT524299 TUP524299 UEL524299 UOH524299 UYD524299 VHZ524299 VRV524299 WBR524299 WLN524299 WVJ524299 B589835 IX589835 ST589835 ACP589835 AML589835 AWH589835 BGD589835 BPZ589835 BZV589835 CJR589835 CTN589835 DDJ589835 DNF589835 DXB589835 EGX589835 EQT589835 FAP589835 FKL589835 FUH589835 GED589835 GNZ589835 GXV589835 HHR589835 HRN589835 IBJ589835 ILF589835 IVB589835 JEX589835 JOT589835 JYP589835 KIL589835 KSH589835 LCD589835 LLZ589835 LVV589835 MFR589835 MPN589835 MZJ589835 NJF589835 NTB589835 OCX589835 OMT589835 OWP589835 PGL589835 PQH589835 QAD589835 QJZ589835 QTV589835 RDR589835 RNN589835 RXJ589835 SHF589835 SRB589835 TAX589835 TKT589835 TUP589835 UEL589835 UOH589835 UYD589835 VHZ589835 VRV589835 WBR589835 WLN589835 WVJ589835 B655371 IX655371 ST655371 ACP655371 AML655371 AWH655371 BGD655371 BPZ655371 BZV655371 CJR655371 CTN655371 DDJ655371 DNF655371 DXB655371 EGX655371 EQT655371 FAP655371 FKL655371 FUH655371 GED655371 GNZ655371 GXV655371 HHR655371 HRN655371 IBJ655371 ILF655371 IVB655371 JEX655371 JOT655371 JYP655371 KIL655371 KSH655371 LCD655371 LLZ655371 LVV655371 MFR655371 MPN655371 MZJ655371 NJF655371 NTB655371 OCX655371 OMT655371 OWP655371 PGL655371 PQH655371 QAD655371 QJZ655371 QTV655371 RDR655371 RNN655371 RXJ655371 SHF655371 SRB655371 TAX655371 TKT655371 TUP655371 UEL655371 UOH655371 UYD655371 VHZ655371 VRV655371 WBR655371 WLN655371 WVJ655371 B720907 IX720907 ST720907 ACP720907 AML720907 AWH720907 BGD720907 BPZ720907 BZV720907 CJR720907 CTN720907 DDJ720907 DNF720907 DXB720907 EGX720907 EQT720907 FAP720907 FKL720907 FUH720907 GED720907 GNZ720907 GXV720907 HHR720907 HRN720907 IBJ720907 ILF720907 IVB720907 JEX720907 JOT720907 JYP720907 KIL720907 KSH720907 LCD720907 LLZ720907 LVV720907 MFR720907 MPN720907 MZJ720907 NJF720907 NTB720907 OCX720907 OMT720907 OWP720907 PGL720907 PQH720907 QAD720907 QJZ720907 QTV720907 RDR720907 RNN720907 RXJ720907 SHF720907 SRB720907 TAX720907 TKT720907 TUP720907 UEL720907 UOH720907 UYD720907 VHZ720907 VRV720907 WBR720907 WLN720907 WVJ720907 B786443 IX786443 ST786443 ACP786443 AML786443 AWH786443 BGD786443 BPZ786443 BZV786443 CJR786443 CTN786443 DDJ786443 DNF786443 DXB786443 EGX786443 EQT786443 FAP786443 FKL786443 FUH786443 GED786443 GNZ786443 GXV786443 HHR786443 HRN786443 IBJ786443 ILF786443 IVB786443 JEX786443 JOT786443 JYP786443 KIL786443 KSH786443 LCD786443 LLZ786443 LVV786443 MFR786443 MPN786443 MZJ786443 NJF786443 NTB786443 OCX786443 OMT786443 OWP786443 PGL786443 PQH786443 QAD786443 QJZ786443 QTV786443 RDR786443 RNN786443 RXJ786443 SHF786443 SRB786443 TAX786443 TKT786443 TUP786443 UEL786443 UOH786443 UYD786443 VHZ786443 VRV786443 WBR786443 WLN786443 WVJ786443 B851979 IX851979 ST851979 ACP851979 AML851979 AWH851979 BGD851979 BPZ851979 BZV851979 CJR851979 CTN851979 DDJ851979 DNF851979 DXB851979 EGX851979 EQT851979 FAP851979 FKL851979 FUH851979 GED851979 GNZ851979 GXV851979 HHR851979 HRN851979 IBJ851979 ILF851979 IVB851979 JEX851979 JOT851979 JYP851979 KIL851979 KSH851979 LCD851979 LLZ851979 LVV851979 MFR851979 MPN851979 MZJ851979 NJF851979 NTB851979 OCX851979 OMT851979 OWP851979 PGL851979 PQH851979 QAD851979 QJZ851979 QTV851979 RDR851979 RNN851979 RXJ851979 SHF851979 SRB851979 TAX851979 TKT851979 TUP851979 UEL851979 UOH851979 UYD851979 VHZ851979 VRV851979 WBR851979 WLN851979 WVJ851979 B917515 IX917515 ST917515 ACP917515 AML917515 AWH917515 BGD917515 BPZ917515 BZV917515 CJR917515 CTN917515 DDJ917515 DNF917515 DXB917515 EGX917515 EQT917515 FAP917515 FKL917515 FUH917515 GED917515 GNZ917515 GXV917515 HHR917515 HRN917515 IBJ917515 ILF917515 IVB917515 JEX917515 JOT917515 JYP917515 KIL917515 KSH917515 LCD917515 LLZ917515 LVV917515 MFR917515 MPN917515 MZJ917515 NJF917515 NTB917515 OCX917515 OMT917515 OWP917515 PGL917515 PQH917515 QAD917515 QJZ917515 QTV917515 RDR917515 RNN917515 RXJ917515 SHF917515 SRB917515 TAX917515 TKT917515 TUP917515 UEL917515 UOH917515 UYD917515 VHZ917515 VRV917515 WBR917515 WLN917515 WVJ917515 B983051 IX983051 ST983051 ACP983051 AML983051 AWH983051 BGD983051 BPZ983051 BZV983051 CJR983051 CTN983051 DDJ983051 DNF983051 DXB983051 EGX983051 EQT983051 FAP983051 FKL983051 FUH983051 GED983051 GNZ983051 GXV983051 HHR983051 HRN983051 IBJ983051 ILF983051 IVB983051 JEX983051 JOT983051 JYP983051 KIL983051 KSH983051 LCD983051 LLZ983051 LVV983051 MFR983051 MPN983051 MZJ983051 NJF983051 NTB983051 OCX983051 OMT983051 OWP983051 PGL983051 PQH983051 QAD983051 QJZ983051 QTV983051 RDR983051 RNN983051 RXJ983051 SHF983051 SRB983051 TAX983051 TKT983051 TUP983051 UEL983051 UOH983051 UYD983051 VHZ983051 VRV983051 WBR983051 WLN983051 WVJ983051" xr:uid="{DD837A3D-B92C-4E52-815B-6F1CA9AE21D2}">
      <mc:AlternateContent xmlns:x12ac="http://schemas.microsoft.com/office/spreadsheetml/2011/1/ac" xmlns:mc="http://schemas.openxmlformats.org/markup-compatibility/2006">
        <mc:Choice Requires="x12ac">
          <x12ac:list>Edificações, Fornecimento de Materiais e Equipamentos," Redes de Água, Esgoto ou Correlatas", Rodovias e Ferrovias," Portuárias, Marítimas e Fluviais",</x12ac:list>
        </mc:Choice>
        <mc:Fallback>
          <formula1>"Edificações, Fornecimento de Materiais e Equipamentos, Redes de Água, Esgoto ou Correlatas, Rodovias e Ferrovias, Portuárias, Marítimas e Fluviais,"</formula1>
        </mc:Fallback>
      </mc:AlternateContent>
    </dataValidation>
  </dataValidations>
  <pageMargins left="0.98425196850393704" right="0.78740157480314965" top="1.5748031496062993" bottom="0.39370078740157483" header="0.51181102362204722" footer="0.51181102362204722"/>
  <pageSetup paperSize="9" orientation="portrait" r:id="rId1"/>
  <headerFooter scaleWithDoc="0">
    <oddHeader>&amp;C&amp;G</oddHeader>
    <oddFooter>&amp;C&amp;"Trebuchet MS,Itálico"&amp;9Rua Pedro Caetano Domingues, nº 33, Quincas Machado, Guaçuí – ES / CNPJ: 21.861.470/0001-10 
       contato.vmengenharia@gmail.com / (28) 9 9963 2562 / (28) 9 9966 6524&amp;R&amp;"Trebuchet MS,Itálico"&amp;9&amp;P de &amp;N</oddFooter>
  </headerFooter>
  <legacy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6</vt:i4>
      </vt:variant>
      <vt:variant>
        <vt:lpstr>Intervalos Nomeados</vt:lpstr>
      </vt:variant>
      <vt:variant>
        <vt:i4>8</vt:i4>
      </vt:variant>
    </vt:vector>
  </HeadingPairs>
  <TitlesOfParts>
    <vt:vector size="14" baseType="lpstr">
      <vt:lpstr>Resumo</vt:lpstr>
      <vt:lpstr>Planilha Orçamentária</vt:lpstr>
      <vt:lpstr>Memória de cálculo</vt:lpstr>
      <vt:lpstr>Cronograma</vt:lpstr>
      <vt:lpstr>COMPOSIÇÕES (2)</vt:lpstr>
      <vt:lpstr>Detalhamento do BDI</vt:lpstr>
      <vt:lpstr>'COMPOSIÇÕES (2)'!Area_de_impressao</vt:lpstr>
      <vt:lpstr>Cronograma!Area_de_impressao</vt:lpstr>
      <vt:lpstr>'Detalhamento do BDI'!Area_de_impressao</vt:lpstr>
      <vt:lpstr>'Memória de cálculo'!Area_de_impressao</vt:lpstr>
      <vt:lpstr>'Planilha Orçamentária'!Area_de_impressao</vt:lpstr>
      <vt:lpstr>Resumo!Area_de_impressao</vt:lpstr>
      <vt:lpstr>'Memória de cálculo'!Titulos_de_impressao</vt:lpstr>
      <vt:lpstr>'Planilha Orçamentária'!Titulos_de_impressao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fhrasko</dc:creator>
  <cp:lastModifiedBy>Matheus Sofiste Teixeira</cp:lastModifiedBy>
  <cp:lastPrinted>2019-07-17T13:37:34Z</cp:lastPrinted>
  <dcterms:created xsi:type="dcterms:W3CDTF">2013-05-06T17:13:09Z</dcterms:created>
  <dcterms:modified xsi:type="dcterms:W3CDTF">2019-07-17T17:42:56Z</dcterms:modified>
</cp:coreProperties>
</file>