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gor.dominicini\Desktop\Prefeitura Municipal de Itarana\PAVIMENTAÇÃO ASFALTICA\JOSÉ COLNAGO, DOM LUIZ SCORT. E ALAMEDA ANTONIO F. DE JESUS\PAVIMENTAÇÃO 2018\R02\"/>
    </mc:Choice>
  </mc:AlternateContent>
  <xr:revisionPtr revIDLastSave="0" documentId="13_ncr:1_{5EA8AE6B-B0E7-4400-88D6-BC52DECEB30D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CAPA" sheetId="4" r:id="rId1"/>
    <sheet name="PLANILHA ORÇAMENTÁRIA" sheetId="1" r:id="rId2"/>
    <sheet name="MEMÓRIA DE CÁLCULO" sheetId="2" r:id="rId3"/>
    <sheet name="CRONOGRAMA FÍSICO-FINANCEIRO" sheetId="3" r:id="rId4"/>
    <sheet name="QUADRO RESUMO DMT" sheetId="5" r:id="rId5"/>
  </sheets>
  <definedNames>
    <definedName name="_xlnm.Print_Area" localSheetId="0">CAPA!$A$1:$D$56</definedName>
    <definedName name="_xlnm.Print_Area" localSheetId="3">'CRONOGRAMA FÍSICO-FINANCEIRO'!$A$1:$L$17</definedName>
    <definedName name="_xlnm.Print_Area" localSheetId="2">'MEMÓRIA DE CÁLCULO'!$A$1:$L$56</definedName>
    <definedName name="_xlnm.Print_Area" localSheetId="1">'PLANILHA ORÇAMENTÁRIA'!$A$1:$H$53</definedName>
    <definedName name="_xlnm.Print_Titles" localSheetId="1">'PLANILHA ORÇAMENTÁRIA'!$1:$6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7" i="5" l="1"/>
  <c r="G6" i="5"/>
  <c r="G5" i="5"/>
  <c r="G4" i="5" l="1"/>
  <c r="G31" i="1" l="1"/>
  <c r="G45" i="1"/>
  <c r="G14" i="1"/>
  <c r="B19" i="4" l="1"/>
  <c r="B17" i="4"/>
  <c r="B15" i="4"/>
  <c r="B13" i="4"/>
  <c r="A19" i="4"/>
  <c r="A17" i="4"/>
  <c r="A15" i="4"/>
  <c r="A13" i="4"/>
  <c r="B12" i="3"/>
  <c r="B10" i="3"/>
  <c r="B11" i="3"/>
  <c r="B9" i="3"/>
  <c r="B54" i="2"/>
  <c r="B53" i="2"/>
  <c r="C50" i="2"/>
  <c r="C51" i="2"/>
  <c r="C52" i="2"/>
  <c r="C49" i="2"/>
  <c r="C43" i="2"/>
  <c r="C44" i="2"/>
  <c r="C45" i="2"/>
  <c r="C46" i="2"/>
  <c r="C47" i="2"/>
  <c r="C48" i="2"/>
  <c r="C42" i="2"/>
  <c r="B50" i="2"/>
  <c r="B51" i="2"/>
  <c r="B52" i="2"/>
  <c r="B49" i="2"/>
  <c r="B43" i="2"/>
  <c r="B44" i="2"/>
  <c r="B45" i="2"/>
  <c r="B46" i="2"/>
  <c r="B47" i="2"/>
  <c r="B48" i="2"/>
  <c r="B42" i="2"/>
  <c r="B41" i="2"/>
  <c r="L56" i="2"/>
  <c r="L55" i="2"/>
  <c r="K50" i="2"/>
  <c r="E51" i="2" s="1"/>
  <c r="H51" i="2" s="1"/>
  <c r="L51" i="2" s="1"/>
  <c r="F49" i="1" s="1"/>
  <c r="H49" i="1" s="1"/>
  <c r="E50" i="2"/>
  <c r="K49" i="2"/>
  <c r="E49" i="2"/>
  <c r="I48" i="2"/>
  <c r="L48" i="2" s="1"/>
  <c r="F45" i="1" s="1"/>
  <c r="E48" i="2"/>
  <c r="L47" i="2"/>
  <c r="F44" i="1" s="1"/>
  <c r="H44" i="1" s="1"/>
  <c r="G46" i="1" s="1"/>
  <c r="H46" i="1" s="1"/>
  <c r="E47" i="2"/>
  <c r="I46" i="2"/>
  <c r="L46" i="2" s="1"/>
  <c r="F43" i="1" s="1"/>
  <c r="H43" i="1" s="1"/>
  <c r="E46" i="2"/>
  <c r="I45" i="2"/>
  <c r="L45" i="2" s="1"/>
  <c r="F42" i="1" s="1"/>
  <c r="H42" i="1" s="1"/>
  <c r="E45" i="2"/>
  <c r="L44" i="2"/>
  <c r="F41" i="1" s="1"/>
  <c r="H41" i="1" s="1"/>
  <c r="E44" i="2"/>
  <c r="L43" i="2"/>
  <c r="F40" i="1" s="1"/>
  <c r="H40" i="1" s="1"/>
  <c r="E43" i="2"/>
  <c r="L42" i="2"/>
  <c r="F39" i="1" s="1"/>
  <c r="H39" i="1" s="1"/>
  <c r="E42" i="2"/>
  <c r="L54" i="2" l="1"/>
  <c r="F52" i="1" s="1"/>
  <c r="H52" i="1" s="1"/>
  <c r="H51" i="1" s="1"/>
  <c r="C12" i="3" s="1"/>
  <c r="L12" i="3" s="1"/>
  <c r="M12" i="3" s="1"/>
  <c r="N12" i="3" s="1"/>
  <c r="L49" i="2"/>
  <c r="F47" i="1" s="1"/>
  <c r="H47" i="1" s="1"/>
  <c r="E52" i="2"/>
  <c r="H52" i="2" s="1"/>
  <c r="L52" i="2" s="1"/>
  <c r="F50" i="1" s="1"/>
  <c r="H50" i="1" s="1"/>
  <c r="L50" i="2"/>
  <c r="F48" i="1" s="1"/>
  <c r="H48" i="1" s="1"/>
  <c r="H45" i="1"/>
  <c r="D19" i="4"/>
  <c r="B38" i="2"/>
  <c r="B39" i="2"/>
  <c r="C37" i="2"/>
  <c r="C36" i="2"/>
  <c r="C29" i="2"/>
  <c r="C30" i="2"/>
  <c r="C31" i="2"/>
  <c r="C32" i="2"/>
  <c r="C33" i="2"/>
  <c r="C34" i="2"/>
  <c r="C35" i="2"/>
  <c r="B37" i="2"/>
  <c r="B36" i="2"/>
  <c r="C28" i="2"/>
  <c r="B29" i="2"/>
  <c r="B30" i="2"/>
  <c r="B31" i="2"/>
  <c r="B32" i="2"/>
  <c r="B33" i="2"/>
  <c r="B34" i="2"/>
  <c r="B35" i="2"/>
  <c r="B28" i="2"/>
  <c r="B27" i="2"/>
  <c r="L40" i="2"/>
  <c r="L39" i="2" s="1"/>
  <c r="F37" i="1" s="1"/>
  <c r="H37" i="1" s="1"/>
  <c r="H36" i="1" s="1"/>
  <c r="K37" i="2"/>
  <c r="L37" i="2" s="1"/>
  <c r="F35" i="1" s="1"/>
  <c r="H35" i="1" s="1"/>
  <c r="K36" i="2"/>
  <c r="L36" i="2" s="1"/>
  <c r="F34" i="1" s="1"/>
  <c r="H34" i="1" s="1"/>
  <c r="L35" i="2"/>
  <c r="F32" i="1" s="1"/>
  <c r="H32" i="1" s="1"/>
  <c r="E35" i="2"/>
  <c r="I34" i="2"/>
  <c r="L34" i="2" s="1"/>
  <c r="F31" i="1" s="1"/>
  <c r="H31" i="1" s="1"/>
  <c r="E34" i="2"/>
  <c r="L33" i="2"/>
  <c r="F30" i="1" s="1"/>
  <c r="H30" i="1" s="1"/>
  <c r="G33" i="1" s="1"/>
  <c r="H33" i="1" s="1"/>
  <c r="E33" i="2"/>
  <c r="I32" i="2"/>
  <c r="L32" i="2" s="1"/>
  <c r="F29" i="1" s="1"/>
  <c r="H29" i="1" s="1"/>
  <c r="E32" i="2"/>
  <c r="I31" i="2"/>
  <c r="L31" i="2" s="1"/>
  <c r="F28" i="1" s="1"/>
  <c r="H28" i="1" s="1"/>
  <c r="E31" i="2"/>
  <c r="L30" i="2"/>
  <c r="F27" i="1" s="1"/>
  <c r="H27" i="1" s="1"/>
  <c r="E30" i="2"/>
  <c r="C22" i="4" s="1"/>
  <c r="L29" i="2"/>
  <c r="F26" i="1" s="1"/>
  <c r="H26" i="1" s="1"/>
  <c r="E29" i="2"/>
  <c r="L28" i="2"/>
  <c r="F25" i="1" s="1"/>
  <c r="H25" i="1" s="1"/>
  <c r="E28" i="2"/>
  <c r="H38" i="1" l="1"/>
  <c r="C11" i="3" s="1"/>
  <c r="H24" i="1"/>
  <c r="D13" i="4" s="1"/>
  <c r="D15" i="4"/>
  <c r="C10" i="3"/>
  <c r="D17" i="4"/>
  <c r="H18" i="2"/>
  <c r="L18" i="2" s="1"/>
  <c r="F19" i="1" s="1"/>
  <c r="H19" i="1" s="1"/>
  <c r="L17" i="2"/>
  <c r="F17" i="2"/>
  <c r="L16" i="2"/>
  <c r="F17" i="1" s="1"/>
  <c r="H17" i="1" s="1"/>
  <c r="L15" i="2"/>
  <c r="F16" i="1" s="1"/>
  <c r="H16" i="1" s="1"/>
  <c r="F13" i="2"/>
  <c r="F12" i="2"/>
  <c r="F11" i="2"/>
  <c r="F10" i="2"/>
  <c r="F18" i="1"/>
  <c r="H18" i="1" s="1"/>
  <c r="C15" i="2"/>
  <c r="C16" i="2"/>
  <c r="C17" i="2"/>
  <c r="C18" i="2"/>
  <c r="B16" i="2"/>
  <c r="B17" i="2"/>
  <c r="B18" i="2"/>
  <c r="B15" i="2"/>
  <c r="K10" i="3" l="1"/>
  <c r="M10" i="3" s="1"/>
  <c r="N10" i="3" s="1"/>
  <c r="J11" i="3"/>
  <c r="L11" i="3"/>
  <c r="K11" i="3"/>
  <c r="C9" i="3"/>
  <c r="B11" i="4"/>
  <c r="B9" i="4"/>
  <c r="B7" i="4"/>
  <c r="A3" i="4"/>
  <c r="A2" i="4"/>
  <c r="J9" i="3" l="1"/>
  <c r="K9" i="3"/>
  <c r="K14" i="3" s="1"/>
  <c r="L14" i="3"/>
  <c r="M11" i="3"/>
  <c r="N11" i="3" s="1"/>
  <c r="B8" i="3"/>
  <c r="B7" i="3"/>
  <c r="B6" i="3"/>
  <c r="M9" i="3" l="1"/>
  <c r="N9" i="3" s="1"/>
  <c r="G23" i="1"/>
  <c r="H26" i="2"/>
  <c r="L26" i="2" s="1"/>
  <c r="F23" i="1" s="1"/>
  <c r="H25" i="2"/>
  <c r="L25" i="2" s="1"/>
  <c r="L24" i="2" s="1"/>
  <c r="F22" i="1" s="1"/>
  <c r="H22" i="1" s="1"/>
  <c r="G21" i="1"/>
  <c r="L22" i="2"/>
  <c r="L23" i="2"/>
  <c r="L21" i="2"/>
  <c r="B24" i="2"/>
  <c r="B26" i="2"/>
  <c r="B20" i="2"/>
  <c r="B19" i="2"/>
  <c r="G13" i="1"/>
  <c r="G12" i="1"/>
  <c r="G11" i="1"/>
  <c r="G9" i="1"/>
  <c r="G8" i="1"/>
  <c r="F15" i="1"/>
  <c r="I13" i="2"/>
  <c r="L13" i="2" s="1"/>
  <c r="F14" i="1" s="1"/>
  <c r="I12" i="2"/>
  <c r="L12" i="2" s="1"/>
  <c r="F13" i="1" s="1"/>
  <c r="I11" i="2"/>
  <c r="L11" i="2" s="1"/>
  <c r="F12" i="1" s="1"/>
  <c r="L10" i="2"/>
  <c r="C23" i="4" s="1"/>
  <c r="B11" i="2"/>
  <c r="B12" i="2"/>
  <c r="B13" i="2"/>
  <c r="B14" i="2"/>
  <c r="B10" i="2"/>
  <c r="B9" i="2"/>
  <c r="H8" i="2"/>
  <c r="L8" i="2" s="1"/>
  <c r="F9" i="1" s="1"/>
  <c r="L20" i="2" l="1"/>
  <c r="F21" i="1" s="1"/>
  <c r="H23" i="1"/>
  <c r="H9" i="1"/>
  <c r="F11" i="1"/>
  <c r="H11" i="1" s="1"/>
  <c r="H21" i="1"/>
  <c r="H20" i="1" s="1"/>
  <c r="H14" i="1"/>
  <c r="H13" i="1"/>
  <c r="H12" i="1"/>
  <c r="B8" i="2"/>
  <c r="H7" i="2"/>
  <c r="L7" i="2" s="1"/>
  <c r="F8" i="1" s="1"/>
  <c r="H8" i="1" s="1"/>
  <c r="H7" i="1" s="1"/>
  <c r="B7" i="2"/>
  <c r="B6" i="2"/>
  <c r="G15" i="1" l="1"/>
  <c r="H15" i="1" s="1"/>
  <c r="H10" i="1" s="1"/>
  <c r="H53" i="1" s="1"/>
  <c r="D7" i="4"/>
  <c r="C6" i="3"/>
  <c r="H6" i="3" s="1"/>
  <c r="D11" i="4"/>
  <c r="C8" i="3"/>
  <c r="I8" i="3" l="1"/>
  <c r="M8" i="3" s="1"/>
  <c r="N8" i="3" s="1"/>
  <c r="M6" i="3"/>
  <c r="N6" i="3" s="1"/>
  <c r="D9" i="4"/>
  <c r="C21" i="4" s="1"/>
  <c r="C7" i="4" s="1"/>
  <c r="C7" i="3"/>
  <c r="H7" i="3" l="1"/>
  <c r="I7" i="3"/>
  <c r="H14" i="3"/>
  <c r="I14" i="3"/>
  <c r="J14" i="3"/>
  <c r="C15" i="4"/>
  <c r="C19" i="4"/>
  <c r="C17" i="4"/>
  <c r="C11" i="4"/>
  <c r="C13" i="4"/>
  <c r="C13" i="3"/>
  <c r="C25" i="4"/>
  <c r="C24" i="4"/>
  <c r="C9" i="4"/>
  <c r="M7" i="3" l="1"/>
  <c r="N7" i="3" s="1"/>
  <c r="H15" i="3"/>
  <c r="I15" i="3" s="1"/>
  <c r="J15" i="3" s="1"/>
  <c r="K15" i="3" s="1"/>
  <c r="L15" i="3" s="1"/>
  <c r="J16" i="3"/>
  <c r="D12" i="3"/>
  <c r="D9" i="3"/>
  <c r="L16" i="3"/>
  <c r="D11" i="3"/>
  <c r="K16" i="3"/>
  <c r="D10" i="3"/>
  <c r="I16" i="3"/>
  <c r="D6" i="3"/>
  <c r="D8" i="3"/>
  <c r="D7" i="3"/>
  <c r="H16" i="3" l="1"/>
  <c r="H17" i="3" s="1"/>
  <c r="I17" i="3" s="1"/>
  <c r="J17" i="3" s="1"/>
  <c r="K17" i="3" s="1"/>
  <c r="L17" i="3" s="1"/>
  <c r="D13" i="3"/>
</calcChain>
</file>

<file path=xl/sharedStrings.xml><?xml version="1.0" encoding="utf-8"?>
<sst xmlns="http://schemas.openxmlformats.org/spreadsheetml/2006/main" count="572" uniqueCount="171">
  <si>
    <t>Ref.</t>
  </si>
  <si>
    <t>Fonte</t>
  </si>
  <si>
    <t>Código</t>
  </si>
  <si>
    <t>Item</t>
  </si>
  <si>
    <t>Serviços</t>
  </si>
  <si>
    <t>Unid.</t>
  </si>
  <si>
    <t>Quant.</t>
  </si>
  <si>
    <t>Unit.</t>
  </si>
  <si>
    <t>Total</t>
  </si>
  <si>
    <t>PLANILHA ORÇAMENTÁRIA</t>
  </si>
  <si>
    <t>Data-base:</t>
  </si>
  <si>
    <t>BDI:</t>
  </si>
  <si>
    <t>Ref. De Preços:</t>
  </si>
  <si>
    <t>1.0</t>
  </si>
  <si>
    <t>SERVIÇOS PRELIMINARES</t>
  </si>
  <si>
    <t>1.1</t>
  </si>
  <si>
    <t>m²</t>
  </si>
  <si>
    <t>1.2</t>
  </si>
  <si>
    <t>2.0</t>
  </si>
  <si>
    <t>2.1</t>
  </si>
  <si>
    <t>2.2</t>
  </si>
  <si>
    <t>DER-ES</t>
  </si>
  <si>
    <t>Barracão em chapa compensada 12mm e pont. 8x8cm, piso cimentado e cobertura de telhas fibrocimento 6mm, incl. ponto de luz</t>
  </si>
  <si>
    <t>Pintura de ligação, inclusive fornecimento e transporte da emulsão</t>
  </si>
  <si>
    <t>2.3</t>
  </si>
  <si>
    <t>CBUQ (camada pronta - binder) inclusive fornecimento e transporte comercial do CAP, exclusive transporte da massa</t>
  </si>
  <si>
    <t>t</t>
  </si>
  <si>
    <t>CBUQ (camada pronta - capa) inclusive fornecimento e transporte comercial do CAP, exclusive transporte da massa</t>
  </si>
  <si>
    <t>2.4</t>
  </si>
  <si>
    <t>2.5</t>
  </si>
  <si>
    <t>Bonificação de 15,28% sobre Materiais Betuminosos</t>
  </si>
  <si>
    <t>%</t>
  </si>
  <si>
    <t>3.0</t>
  </si>
  <si>
    <t>3.1</t>
  </si>
  <si>
    <t>Sinalização vertical, inclusive transporte de placa sinalização e madeira</t>
  </si>
  <si>
    <t>Pintura acrílica sobre capa asfáltica</t>
  </si>
  <si>
    <t>3.2</t>
  </si>
  <si>
    <t>Sinalização horizontal - taxa 0,6 l/m², tudo incluído</t>
  </si>
  <si>
    <t>3.3</t>
  </si>
  <si>
    <t>PLANILHA QUANTITATIVA</t>
  </si>
  <si>
    <t>Descrição</t>
  </si>
  <si>
    <t>Und</t>
  </si>
  <si>
    <t>Comprim.</t>
  </si>
  <si>
    <t>Largura</t>
  </si>
  <si>
    <t>Altura</t>
  </si>
  <si>
    <t>Área</t>
  </si>
  <si>
    <t>Volume</t>
  </si>
  <si>
    <t>Descontos</t>
  </si>
  <si>
    <t>Coef.</t>
  </si>
  <si>
    <t>-</t>
  </si>
  <si>
    <t>PLACA PARE</t>
  </si>
  <si>
    <t>PEDESTRE</t>
  </si>
  <si>
    <t>PLACA VIRE</t>
  </si>
  <si>
    <t>FAIXA PEDESTRE</t>
  </si>
  <si>
    <t>CRONOGRAMA FÍSICO-FINANCEIRO</t>
  </si>
  <si>
    <t>ITEM</t>
  </si>
  <si>
    <t>DESCRIÇÃO</t>
  </si>
  <si>
    <t>VALOR (R$)</t>
  </si>
  <si>
    <t>% DO ITEM</t>
  </si>
  <si>
    <t>PERÍODO (MÊS)</t>
  </si>
  <si>
    <t>VALORES TOTAIS</t>
  </si>
  <si>
    <t>Total Parcial (R$)</t>
  </si>
  <si>
    <t>Total Acumulado (R$)</t>
  </si>
  <si>
    <t>Total Parcial (%)</t>
  </si>
  <si>
    <t>Total Acumulado (%)</t>
  </si>
  <si>
    <t>TOTAL</t>
  </si>
  <si>
    <t>RESUMO DE ORÇAMENTO</t>
  </si>
  <si>
    <t>ORÇAMENTISTA: IGOR ALVES FOLADOR DOMINICINI - CREA: ES- 043213/D</t>
  </si>
  <si>
    <t>VALORES (R$)</t>
  </si>
  <si>
    <t>01</t>
  </si>
  <si>
    <t>02</t>
  </si>
  <si>
    <t>03</t>
  </si>
  <si>
    <t>RESUMO</t>
  </si>
  <si>
    <t>CUSTO TOTAL (R$)</t>
  </si>
  <si>
    <t>EXTENSÃO PROJETADA (M)</t>
  </si>
  <si>
    <t>ÁREA PROJETADA (M²)</t>
  </si>
  <si>
    <t>CUSTO POR M</t>
  </si>
  <si>
    <t>CUSTO POR M²</t>
  </si>
  <si>
    <t>Engº Civil Igor Alves Folador Dominicini</t>
  </si>
  <si>
    <t>CREA ES-043213/D</t>
  </si>
  <si>
    <t>2.6</t>
  </si>
  <si>
    <t>2.7</t>
  </si>
  <si>
    <t>2.8</t>
  </si>
  <si>
    <t>2.9</t>
  </si>
  <si>
    <t>Remoção de meio fio em Vias Urbanas</t>
  </si>
  <si>
    <t>Meio-fio pré-moldado em concreto, inclusive caiação e transporte do meio-fio</t>
  </si>
  <si>
    <t>Calçada de concreto</t>
  </si>
  <si>
    <t>Ladrilho hidráulico (argamassa cimento e areia 1:4), fornecimento e assentamento</t>
  </si>
  <si>
    <t>m</t>
  </si>
  <si>
    <t>PAVIMENTAÇÃO - RUA JOSÉ COLNAGO</t>
  </si>
  <si>
    <t>SINALIZAÇÃO HORIZONTAL E VERTICAL - RUA JOSÉ COLNAGO</t>
  </si>
  <si>
    <t>Remoção de pavimentação poliédrica</t>
  </si>
  <si>
    <t>Regularização e compactação do sub-leito (100% P.I.) H = 0,20 m</t>
  </si>
  <si>
    <t>Pavimentação com blocos de concreto (35 MPa), esp. = 10 cm, sobre colchão areia esp.= 5cm, inclusive fornecimento e transporte dos blocos e areia</t>
  </si>
  <si>
    <t>Estabilização granulométrica de solo s/ mistura 100% P.I.</t>
  </si>
  <si>
    <t>m³</t>
  </si>
  <si>
    <t xml:space="preserve">Sub-base solo brita, 50% em peso, inclusive fornecimento e transporte da brita (XP = 2,75; XR =26,55) (0,647XP + 0,674XR + 2,698) </t>
  </si>
  <si>
    <t>Imprimação exclusive fornecimento e transporte comercial do material betuminoso</t>
  </si>
  <si>
    <t>4.0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</si>
  <si>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</si>
  <si>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</si>
  <si>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</si>
  <si>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</si>
  <si>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</si>
  <si>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</si>
  <si>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</si>
  <si>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</si>
  <si>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</si>
  <si>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</si>
  <si>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</si>
  <si>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5.0</t>
  </si>
  <si>
    <t>5.1</t>
  </si>
  <si>
    <t>PAVIMENTAÇÃO - ALAMEDA ANTÔNIO FERREIRA DE JESUS</t>
  </si>
  <si>
    <t>SINALIZAÇÃO HORIZONTAL E VERTICAL - ALAMEDA ANTÔNIO FERREIRA DE JESUS</t>
  </si>
  <si>
    <t>6.0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</si>
  <si>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</si>
  <si>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</si>
  <si>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</si>
  <si>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</si>
  <si>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</si>
  <si>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</si>
  <si>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</si>
  <si>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</si>
  <si>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</si>
  <si>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</si>
  <si>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6.11</t>
  </si>
  <si>
    <t>6.12</t>
  </si>
  <si>
    <t>PAVIMENTAÇÃO - RUA DOM LUIZ SCORTEGAGNA</t>
  </si>
  <si>
    <t>7.0</t>
  </si>
  <si>
    <t>7.1</t>
  </si>
  <si>
    <t>SINALIZAÇÃO HORIZONTAL E VERTICAL - RUA DOM LUIZ SCORTEGAGNA</t>
  </si>
  <si>
    <r>
      <t xml:space="preserve">Obra: </t>
    </r>
    <r>
      <rPr>
        <sz val="12"/>
        <color theme="1"/>
        <rFont val="Century Gothic"/>
        <family val="2"/>
      </rPr>
      <t>Pavimentação Asfáltica em parte da Rua José Colnago, Rua Dom Luiz Scortegagna e Alameda Antônio Ferreira de Jesus.</t>
    </r>
  </si>
  <si>
    <r>
      <t>LOCAL:</t>
    </r>
    <r>
      <rPr>
        <sz val="12"/>
        <color theme="1"/>
        <rFont val="Century Gothic"/>
        <family val="2"/>
      </rPr>
      <t xml:space="preserve"> Centro, Itarana - ES.</t>
    </r>
  </si>
  <si>
    <r>
      <rPr>
        <b/>
        <sz val="12"/>
        <color theme="1"/>
        <rFont val="Century Gothic"/>
        <family val="2"/>
      </rPr>
      <t>CONTRATANTE:</t>
    </r>
    <r>
      <rPr>
        <sz val="12"/>
        <color theme="1"/>
        <rFont val="Century Gothic"/>
        <family val="2"/>
      </rPr>
      <t xml:space="preserve"> Prefeitura Municipal de Itarana</t>
    </r>
  </si>
  <si>
    <r>
      <t>Obra:</t>
    </r>
    <r>
      <rPr>
        <sz val="12"/>
        <color theme="1"/>
        <rFont val="Calibri"/>
        <family val="2"/>
        <scheme val="minor"/>
      </rPr>
      <t xml:space="preserve"> Pavimentação Asfáltica em parte da Rua José Colnago, Rua Dom Luiz Scortegagna e Alameda Antônio Ferreira de Jesus.</t>
    </r>
  </si>
  <si>
    <r>
      <t>Local:</t>
    </r>
    <r>
      <rPr>
        <sz val="12"/>
        <color theme="1"/>
        <rFont val="Calibri"/>
        <family val="2"/>
        <scheme val="minor"/>
      </rPr>
      <t xml:space="preserve"> Centro, Itarana, ES.</t>
    </r>
  </si>
  <si>
    <r>
      <t xml:space="preserve">Contratante: </t>
    </r>
    <r>
      <rPr>
        <sz val="12"/>
        <color theme="1"/>
        <rFont val="Calibri"/>
        <family val="2"/>
        <scheme val="minor"/>
      </rPr>
      <t>Prefeitura Municipal de Itarana</t>
    </r>
  </si>
  <si>
    <t>PROCESSO LICITATÓRIO</t>
  </si>
  <si>
    <t>Itarana, 11 de outubro de 2018</t>
  </si>
  <si>
    <r>
      <rPr>
        <b/>
        <sz val="12"/>
        <color theme="1"/>
        <rFont val="Century Gothic"/>
        <family val="2"/>
      </rPr>
      <t>Obra:</t>
    </r>
    <r>
      <rPr>
        <sz val="12"/>
        <color theme="1"/>
        <rFont val="Century Gothic"/>
        <family val="2"/>
      </rPr>
      <t xml:space="preserve"> Pavimentação Asfáltica em parte da Rua José Colnago, Rua Dom Luiz Scortegagna e Alameda Antônio Ferreira de Jesus.</t>
    </r>
  </si>
  <si>
    <r>
      <t>Local:</t>
    </r>
    <r>
      <rPr>
        <sz val="12"/>
        <color indexed="8"/>
        <rFont val="Century Gothic"/>
        <family val="2"/>
      </rPr>
      <t xml:space="preserve"> Itarana-ES</t>
    </r>
  </si>
  <si>
    <r>
      <t>Contratante:</t>
    </r>
    <r>
      <rPr>
        <sz val="12"/>
        <color indexed="8"/>
        <rFont val="Century Gothic"/>
        <family val="2"/>
      </rPr>
      <t xml:space="preserve"> Prefeitura Municipal de Itarana</t>
    </r>
  </si>
  <si>
    <r>
      <t>Orçamentista:</t>
    </r>
    <r>
      <rPr>
        <sz val="12"/>
        <color theme="1"/>
        <rFont val="Century Gothic"/>
        <family val="2"/>
      </rPr>
      <t xml:space="preserve"> Engº Civil Igor Alves Folador Dominicini    CREA ES-043213/D</t>
    </r>
  </si>
  <si>
    <r>
      <t>Orçamentista:</t>
    </r>
    <r>
      <rPr>
        <sz val="12"/>
        <color theme="1"/>
        <rFont val="Calibri"/>
        <family val="2"/>
        <scheme val="minor"/>
      </rPr>
      <t xml:space="preserve"> Engº Civil Igor Alves Folador Dominicini    CREA ES-043213/D</t>
    </r>
  </si>
  <si>
    <t>Itarana, 11 de Outubro de 2018</t>
  </si>
  <si>
    <t>Itarana, 11 de outubro de 2018.</t>
  </si>
  <si>
    <t>LOCAL COM DMT ATÉ 3,0 KM (Caminhão basculante) (Remoção de Pavimentação poliédrica) 0,835XP + 0,923XR + 1,466 (XP = 2,5; XR = 0)</t>
  </si>
  <si>
    <t>TR-301-00 (Massa Asfáltica) 0,974XP + 1,011XR + 7,495 (XP = 100, XR = 0)</t>
  </si>
  <si>
    <t>LOCAL COM DMT ATÉ 3,0 KM (Caminhão basculante) (Remoção de pavimentação poliédrica) 0,835XP + 0,923XR + 1,466 (XP = 2,3; XR = 0)</t>
  </si>
  <si>
    <t>QUADRO RESUMO DAS DISTÂNCIAS MÉDIAS DE TRANSPORTE (DMT)</t>
  </si>
  <si>
    <t>SERVIÇO</t>
  </si>
  <si>
    <t>MATERIAL</t>
  </si>
  <si>
    <t>PERCURSO</t>
  </si>
  <si>
    <t>ORIGEM</t>
  </si>
  <si>
    <t>DESTINO</t>
  </si>
  <si>
    <t>DMT (km)</t>
  </si>
  <si>
    <t>XR</t>
  </si>
  <si>
    <t>XP</t>
  </si>
  <si>
    <t>Sub-base em Solo brita</t>
  </si>
  <si>
    <t>Solo</t>
  </si>
  <si>
    <t>Pedreira Lajinha, Afonso Cláudio</t>
  </si>
  <si>
    <t>Obra (Alameda Antônio F. de Jesus, Itarana / ES)</t>
  </si>
  <si>
    <t>Massa Asfáltica</t>
  </si>
  <si>
    <t>Obra (Rua José Colnago, Itarana / ES)</t>
  </si>
  <si>
    <t>Concreto Betuminoso Usinado a Quente (CBUQ)</t>
  </si>
  <si>
    <t>Bota-fora</t>
  </si>
  <si>
    <t>Pavimentação Poliédrica</t>
  </si>
  <si>
    <t>Obra (Rua Dom Luiz Scortegagna, Itarana / ES)</t>
  </si>
  <si>
    <t>Refinaria/Usina de Asfalto</t>
  </si>
  <si>
    <t>Placa de obra nas dimensões de 2,0 x 4,0 m, padrão SEDURB</t>
  </si>
  <si>
    <t>Leis Sociais: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</si>
</sst>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entury Gothic"/>
      <family val="2"/>
    </font>
    <font>
      <i/>
      <sz val="10"/>
      <color theme="1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entury Gothic"/>
      <family val="2"/>
    </font>
    <font>
      <sz val="12"/>
      <color theme="1"/>
      <name val="Century Gothic"/>
      <family val="2"/>
    </font>
    <font>
      <sz val="12"/>
      <color theme="1"/>
      <name val="Calibri"/>
      <family val="2"/>
      <scheme val="minor"/>
    </font>
    <font>
      <b/>
      <sz val="9"/>
      <name val="Arial"/>
      <family val="2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indexed="8"/>
      <name val="Century Gothic"/>
      <family val="2"/>
    </font>
    <font>
      <b/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8">
    <xf numFmtId="0" fontId="0" fillId="0" borderId="0" xfId="0"/>
    <xf numFmtId="0" fontId="3" fillId="0" borderId="8" xfId="0" applyFont="1" applyBorder="1" applyAlignment="1">
      <alignment horizontal="center"/>
    </xf>
    <xf numFmtId="4" fontId="4" fillId="4" borderId="0" xfId="0" applyNumberFormat="1" applyFont="1" applyFill="1" applyBorder="1" applyAlignment="1">
      <alignment horizontal="left" vertical="center"/>
    </xf>
    <xf numFmtId="4" fontId="4" fillId="4" borderId="11" xfId="0" applyNumberFormat="1" applyFont="1" applyFill="1" applyBorder="1" applyAlignment="1">
      <alignment vertical="center"/>
    </xf>
    <xf numFmtId="4" fontId="5" fillId="4" borderId="0" xfId="0" applyNumberFormat="1" applyFont="1" applyFill="1" applyBorder="1" applyAlignment="1">
      <alignment horizontal="left" vertical="center"/>
    </xf>
    <xf numFmtId="4" fontId="5" fillId="4" borderId="11" xfId="0" applyNumberFormat="1" applyFont="1" applyFill="1" applyBorder="1" applyAlignment="1">
      <alignment vertical="center"/>
    </xf>
    <xf numFmtId="4" fontId="6" fillId="6" borderId="1" xfId="0" applyNumberFormat="1" applyFont="1" applyFill="1" applyBorder="1" applyAlignment="1">
      <alignment horizontal="center" vertical="center"/>
    </xf>
    <xf numFmtId="0" fontId="0" fillId="4" borderId="0" xfId="0" applyFill="1"/>
    <xf numFmtId="4" fontId="8" fillId="0" borderId="1" xfId="0" applyNumberFormat="1" applyFont="1" applyBorder="1" applyAlignment="1">
      <alignment horizontal="center"/>
    </xf>
    <xf numFmtId="0" fontId="11" fillId="0" borderId="0" xfId="0" applyFont="1"/>
    <xf numFmtId="0" fontId="11" fillId="0" borderId="1" xfId="0" applyFont="1" applyBorder="1" applyAlignment="1">
      <alignment horizontal="center"/>
    </xf>
    <xf numFmtId="4" fontId="12" fillId="4" borderId="6" xfId="0" applyNumberFormat="1" applyFont="1" applyFill="1" applyBorder="1" applyAlignment="1">
      <alignment horizontal="left" vertical="center"/>
    </xf>
    <xf numFmtId="4" fontId="12" fillId="4" borderId="7" xfId="0" applyNumberFormat="1" applyFont="1" applyFill="1" applyBorder="1" applyAlignment="1">
      <alignment horizontal="left" vertical="center"/>
    </xf>
    <xf numFmtId="4" fontId="11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4" fontId="11" fillId="0" borderId="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1" xfId="0" applyFont="1" applyBorder="1"/>
    <xf numFmtId="0" fontId="11" fillId="0" borderId="1" xfId="0" applyFont="1" applyBorder="1" applyAlignment="1">
      <alignment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center"/>
    </xf>
    <xf numFmtId="4" fontId="8" fillId="3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10" fontId="11" fillId="0" borderId="1" xfId="0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0" fontId="8" fillId="3" borderId="8" xfId="0" applyFont="1" applyFill="1" applyBorder="1" applyAlignment="1">
      <alignment vertical="center"/>
    </xf>
    <xf numFmtId="0" fontId="8" fillId="3" borderId="10" xfId="0" applyFont="1" applyFill="1" applyBorder="1" applyAlignment="1">
      <alignment vertical="center"/>
    </xf>
    <xf numFmtId="2" fontId="8" fillId="3" borderId="1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4" fontId="11" fillId="0" borderId="0" xfId="0" applyNumberFormat="1" applyFont="1" applyAlignment="1">
      <alignment horizont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wrapText="1"/>
    </xf>
    <xf numFmtId="0" fontId="11" fillId="0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/>
    </xf>
    <xf numFmtId="10" fontId="11" fillId="0" borderId="1" xfId="0" applyNumberFormat="1" applyFont="1" applyBorder="1" applyAlignment="1">
      <alignment vertical="center"/>
    </xf>
    <xf numFmtId="4" fontId="11" fillId="3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4" fontId="11" fillId="0" borderId="0" xfId="0" applyNumberFormat="1" applyFont="1" applyAlignment="1">
      <alignment vertical="center"/>
    </xf>
    <xf numFmtId="4" fontId="11" fillId="4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Border="1" applyAlignment="1">
      <alignment vertical="center"/>
    </xf>
    <xf numFmtId="4" fontId="10" fillId="3" borderId="1" xfId="0" applyNumberFormat="1" applyFont="1" applyFill="1" applyBorder="1" applyAlignment="1">
      <alignment vertical="center"/>
    </xf>
    <xf numFmtId="10" fontId="10" fillId="3" borderId="1" xfId="1" applyNumberFormat="1" applyFont="1" applyFill="1" applyBorder="1" applyAlignment="1">
      <alignment vertical="center"/>
    </xf>
    <xf numFmtId="10" fontId="10" fillId="3" borderId="1" xfId="0" applyNumberFormat="1" applyFont="1" applyFill="1" applyBorder="1" applyAlignment="1">
      <alignment vertical="center"/>
    </xf>
    <xf numFmtId="0" fontId="10" fillId="0" borderId="0" xfId="0" applyFont="1"/>
    <xf numFmtId="0" fontId="15" fillId="0" borderId="0" xfId="0" applyFont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right"/>
    </xf>
    <xf numFmtId="0" fontId="3" fillId="0" borderId="3" xfId="0" applyFont="1" applyBorder="1" applyAlignment="1">
      <alignment horizontal="center"/>
    </xf>
    <xf numFmtId="4" fontId="3" fillId="0" borderId="3" xfId="0" applyNumberFormat="1" applyFont="1" applyBorder="1" applyAlignment="1">
      <alignment horizontal="center"/>
    </xf>
    <xf numFmtId="4" fontId="3" fillId="0" borderId="4" xfId="0" applyNumberFormat="1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4" fontId="3" fillId="0" borderId="11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right"/>
    </xf>
    <xf numFmtId="4" fontId="3" fillId="0" borderId="6" xfId="0" applyNumberFormat="1" applyFont="1" applyBorder="1" applyAlignment="1">
      <alignment horizontal="center"/>
    </xf>
    <xf numFmtId="4" fontId="3" fillId="0" borderId="7" xfId="0" applyNumberFormat="1" applyFont="1" applyBorder="1" applyAlignment="1">
      <alignment horizontal="center"/>
    </xf>
    <xf numFmtId="0" fontId="3" fillId="0" borderId="9" xfId="0" applyFont="1" applyBorder="1" applyAlignment="1">
      <alignment horizontal="right"/>
    </xf>
    <xf numFmtId="0" fontId="3" fillId="0" borderId="9" xfId="0" applyFont="1" applyBorder="1" applyAlignment="1">
      <alignment horizontal="center"/>
    </xf>
    <xf numFmtId="4" fontId="3" fillId="0" borderId="9" xfId="0" applyNumberFormat="1" applyFont="1" applyBorder="1" applyAlignment="1">
      <alignment horizontal="center"/>
    </xf>
    <xf numFmtId="4" fontId="3" fillId="0" borderId="10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7" fillId="4" borderId="1" xfId="0" applyNumberFormat="1" applyFont="1" applyFill="1" applyBorder="1" applyAlignment="1">
      <alignment horizontal="center" vertical="center"/>
    </xf>
    <xf numFmtId="2" fontId="17" fillId="4" borderId="1" xfId="0" applyNumberFormat="1" applyFont="1" applyFill="1" applyBorder="1" applyAlignment="1">
      <alignment horizontal="center" vertical="center"/>
    </xf>
    <xf numFmtId="4" fontId="17" fillId="4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/>
    <xf numFmtId="4" fontId="8" fillId="2" borderId="1" xfId="0" applyNumberFormat="1" applyFont="1" applyFill="1" applyBorder="1" applyAlignment="1">
      <alignment horizontal="center"/>
    </xf>
    <xf numFmtId="4" fontId="8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4" fontId="11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/>
    </xf>
    <xf numFmtId="17" fontId="11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11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2" fontId="11" fillId="0" borderId="0" xfId="0" applyNumberFormat="1" applyFont="1" applyAlignment="1">
      <alignment horizontal="center" vertical="center"/>
    </xf>
    <xf numFmtId="4" fontId="11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2" fontId="15" fillId="0" borderId="1" xfId="0" applyNumberFormat="1" applyFont="1" applyBorder="1" applyAlignment="1">
      <alignment horizontal="center" vertical="center"/>
    </xf>
    <xf numFmtId="10" fontId="11" fillId="0" borderId="1" xfId="1" applyNumberFormat="1" applyFont="1" applyBorder="1" applyAlignment="1">
      <alignment horizontal="center" vertical="center"/>
    </xf>
    <xf numFmtId="10" fontId="8" fillId="0" borderId="1" xfId="1" applyNumberFormat="1" applyFont="1" applyBorder="1" applyAlignment="1">
      <alignment horizontal="center" vertical="center"/>
    </xf>
    <xf numFmtId="4" fontId="4" fillId="4" borderId="12" xfId="0" applyNumberFormat="1" applyFont="1" applyFill="1" applyBorder="1" applyAlignment="1">
      <alignment horizontal="left" vertical="center"/>
    </xf>
    <xf numFmtId="4" fontId="4" fillId="4" borderId="0" xfId="0" applyNumberFormat="1" applyFont="1" applyFill="1" applyBorder="1" applyAlignment="1">
      <alignment horizontal="left" vertical="center"/>
    </xf>
    <xf numFmtId="4" fontId="5" fillId="4" borderId="12" xfId="0" applyNumberFormat="1" applyFont="1" applyFill="1" applyBorder="1" applyAlignment="1">
      <alignment horizontal="left" vertical="center" wrapText="1"/>
    </xf>
    <xf numFmtId="4" fontId="5" fillId="4" borderId="0" xfId="0" applyNumberFormat="1" applyFont="1" applyFill="1" applyBorder="1" applyAlignment="1">
      <alignment horizontal="left" vertical="center" wrapText="1"/>
    </xf>
    <xf numFmtId="4" fontId="5" fillId="4" borderId="12" xfId="0" applyNumberFormat="1" applyFont="1" applyFill="1" applyBorder="1" applyAlignment="1">
      <alignment horizontal="left" vertical="center"/>
    </xf>
    <xf numFmtId="4" fontId="5" fillId="4" borderId="0" xfId="0" applyNumberFormat="1" applyFont="1" applyFill="1" applyBorder="1" applyAlignment="1">
      <alignment horizontal="left" vertical="center"/>
    </xf>
    <xf numFmtId="4" fontId="5" fillId="4" borderId="5" xfId="0" applyNumberFormat="1" applyFont="1" applyFill="1" applyBorder="1" applyAlignment="1">
      <alignment horizontal="left" vertical="center"/>
    </xf>
    <xf numFmtId="4" fontId="5" fillId="4" borderId="6" xfId="0" applyNumberFormat="1" applyFont="1" applyFill="1" applyBorder="1" applyAlignment="1">
      <alignment horizontal="left" vertical="center"/>
    </xf>
    <xf numFmtId="4" fontId="6" fillId="5" borderId="1" xfId="0" applyNumberFormat="1" applyFont="1" applyFill="1" applyBorder="1" applyAlignment="1">
      <alignment horizontal="center" vertical="center"/>
    </xf>
    <xf numFmtId="4" fontId="6" fillId="5" borderId="13" xfId="0" applyNumberFormat="1" applyFont="1" applyFill="1" applyBorder="1" applyAlignment="1">
      <alignment horizontal="center" vertical="center"/>
    </xf>
    <xf numFmtId="4" fontId="6" fillId="5" borderId="14" xfId="0" applyNumberFormat="1" applyFont="1" applyFill="1" applyBorder="1" applyAlignment="1">
      <alignment horizontal="center" vertical="center"/>
    </xf>
    <xf numFmtId="4" fontId="6" fillId="5" borderId="1" xfId="2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left" vertical="center" wrapText="1"/>
    </xf>
    <xf numFmtId="10" fontId="7" fillId="0" borderId="13" xfId="0" applyNumberFormat="1" applyFont="1" applyFill="1" applyBorder="1" applyAlignment="1">
      <alignment horizontal="right" vertical="center" wrapText="1"/>
    </xf>
    <xf numFmtId="10" fontId="7" fillId="0" borderId="14" xfId="0" applyNumberFormat="1" applyFont="1" applyFill="1" applyBorder="1" applyAlignment="1">
      <alignment horizontal="right" vertical="center" wrapText="1"/>
    </xf>
    <xf numFmtId="43" fontId="7" fillId="0" borderId="1" xfId="2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/>
    </xf>
    <xf numFmtId="4" fontId="6" fillId="6" borderId="1" xfId="0" applyNumberFormat="1" applyFont="1" applyFill="1" applyBorder="1" applyAlignment="1">
      <alignment horizontal="center" vertical="center"/>
    </xf>
    <xf numFmtId="43" fontId="4" fillId="6" borderId="8" xfId="2" applyFont="1" applyFill="1" applyBorder="1" applyAlignment="1">
      <alignment horizontal="center" vertical="center"/>
    </xf>
    <xf numFmtId="43" fontId="4" fillId="6" borderId="10" xfId="2" applyFont="1" applyFill="1" applyBorder="1" applyAlignment="1">
      <alignment horizontal="center" vertical="center"/>
    </xf>
    <xf numFmtId="43" fontId="6" fillId="6" borderId="8" xfId="2" applyNumberFormat="1" applyFont="1" applyFill="1" applyBorder="1" applyAlignment="1">
      <alignment horizontal="center" vertical="center"/>
    </xf>
    <xf numFmtId="43" fontId="6" fillId="6" borderId="10" xfId="2" applyNumberFormat="1" applyFont="1" applyFill="1" applyBorder="1" applyAlignment="1">
      <alignment horizontal="center" vertical="center"/>
    </xf>
    <xf numFmtId="43" fontId="6" fillId="6" borderId="8" xfId="2" applyFont="1" applyFill="1" applyBorder="1" applyAlignment="1">
      <alignment horizontal="center" vertical="center"/>
    </xf>
    <xf numFmtId="43" fontId="6" fillId="6" borderId="10" xfId="2" applyFont="1" applyFill="1" applyBorder="1" applyAlignment="1">
      <alignment horizontal="center" vertical="center"/>
    </xf>
    <xf numFmtId="2" fontId="6" fillId="6" borderId="8" xfId="2" applyNumberFormat="1" applyFont="1" applyFill="1" applyBorder="1" applyAlignment="1">
      <alignment horizontal="right" vertical="center"/>
    </xf>
    <xf numFmtId="2" fontId="6" fillId="6" borderId="10" xfId="2" applyNumberFormat="1" applyFont="1" applyFill="1" applyBorder="1" applyAlignment="1">
      <alignment horizontal="right" vertical="center"/>
    </xf>
    <xf numFmtId="3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14" fontId="11" fillId="0" borderId="8" xfId="0" applyNumberFormat="1" applyFont="1" applyBorder="1" applyAlignment="1">
      <alignment horizontal="right" vertical="center"/>
    </xf>
    <xf numFmtId="0" fontId="11" fillId="0" borderId="9" xfId="0" applyFont="1" applyBorder="1" applyAlignment="1">
      <alignment horizontal="right" vertical="center"/>
    </xf>
    <xf numFmtId="0" fontId="11" fillId="0" borderId="1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2" fontId="14" fillId="0" borderId="1" xfId="0" applyNumberFormat="1" applyFont="1" applyBorder="1" applyAlignment="1">
      <alignment horizontal="center" vertical="center"/>
    </xf>
    <xf numFmtId="2" fontId="10" fillId="0" borderId="1" xfId="0" applyNumberFormat="1" applyFont="1" applyBorder="1" applyAlignment="1">
      <alignment horizontal="left" vertical="center" wrapText="1"/>
    </xf>
    <xf numFmtId="2" fontId="10" fillId="0" borderId="8" xfId="0" applyNumberFormat="1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left" vertical="center"/>
    </xf>
    <xf numFmtId="2" fontId="2" fillId="0" borderId="8" xfId="0" applyNumberFormat="1" applyFont="1" applyBorder="1" applyAlignment="1">
      <alignment horizontal="left" vertical="center"/>
    </xf>
    <xf numFmtId="0" fontId="8" fillId="2" borderId="8" xfId="0" applyFont="1" applyFill="1" applyBorder="1" applyAlignment="1">
      <alignment horizontal="left"/>
    </xf>
    <xf numFmtId="0" fontId="8" fillId="2" borderId="10" xfId="0" applyFont="1" applyFill="1" applyBorder="1" applyAlignment="1">
      <alignment horizontal="left"/>
    </xf>
    <xf numFmtId="4" fontId="9" fillId="0" borderId="1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14" fontId="10" fillId="0" borderId="8" xfId="0" applyNumberFormat="1" applyFont="1" applyBorder="1" applyAlignment="1">
      <alignment horizontal="right"/>
    </xf>
    <xf numFmtId="14" fontId="10" fillId="0" borderId="9" xfId="0" applyNumberFormat="1" applyFont="1" applyBorder="1" applyAlignment="1">
      <alignment horizontal="right"/>
    </xf>
    <xf numFmtId="14" fontId="10" fillId="0" borderId="10" xfId="0" applyNumberFormat="1" applyFont="1" applyBorder="1" applyAlignment="1">
      <alignment horizontal="right"/>
    </xf>
    <xf numFmtId="0" fontId="2" fillId="2" borderId="1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right" vertical="center"/>
    </xf>
    <xf numFmtId="0" fontId="8" fillId="3" borderId="1" xfId="0" applyFont="1" applyFill="1" applyBorder="1" applyAlignment="1">
      <alignment horizontal="center" vertical="center"/>
    </xf>
  </cellXfs>
  <cellStyles count="3">
    <cellStyle name="Normal" xfId="0" builtinId="0"/>
    <cellStyle name="Porcentagem" xfId="1" builtinId="5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65"/>
  <sheetViews>
    <sheetView tabSelected="1" view="pageBreakPreview" zoomScaleNormal="100" zoomScaleSheetLayoutView="100" workbookViewId="0">
      <selection activeCell="C4" sqref="C4"/>
    </sheetView>
  </sheetViews>
  <sheetFormatPr defaultRowHeight="15" x14ac:dyDescent="0.25"/>
  <cols>
    <col min="2" max="2" width="76.28515625" customWidth="1"/>
    <col min="3" max="3" width="10.42578125" customWidth="1"/>
    <col min="4" max="4" width="18" customWidth="1"/>
  </cols>
  <sheetData>
    <row r="1" spans="1:4" x14ac:dyDescent="0.25">
      <c r="A1" s="94" t="s">
        <v>66</v>
      </c>
      <c r="B1" s="95"/>
      <c r="C1" s="2"/>
      <c r="D1" s="3"/>
    </row>
    <row r="2" spans="1:4" ht="30" customHeight="1" x14ac:dyDescent="0.25">
      <c r="A2" s="96" t="str">
        <f>'PLANILHA ORÇAMENTÁRIA'!A1:D1</f>
        <v>Obra: Pavimentação Asfáltica em parte da Rua José Colnago, Rua Dom Luiz Scortegagna e Alameda Antônio Ferreira de Jesus.</v>
      </c>
      <c r="B2" s="97"/>
      <c r="C2" s="4"/>
      <c r="D2" s="5"/>
    </row>
    <row r="3" spans="1:4" x14ac:dyDescent="0.25">
      <c r="A3" s="98" t="str">
        <f>'PLANILHA ORÇAMENTÁRIA'!A2:D2</f>
        <v>Local: Centro, Itarana, ES.</v>
      </c>
      <c r="B3" s="99"/>
      <c r="C3" s="4"/>
      <c r="D3" s="5"/>
    </row>
    <row r="4" spans="1:4" x14ac:dyDescent="0.25">
      <c r="A4" s="100" t="s">
        <v>67</v>
      </c>
      <c r="B4" s="101"/>
      <c r="C4" s="11" t="s">
        <v>144</v>
      </c>
      <c r="D4" s="12"/>
    </row>
    <row r="5" spans="1:4" x14ac:dyDescent="0.25">
      <c r="A5" s="102" t="s">
        <v>55</v>
      </c>
      <c r="B5" s="102" t="s">
        <v>56</v>
      </c>
      <c r="C5" s="103" t="s">
        <v>31</v>
      </c>
      <c r="D5" s="105" t="s">
        <v>68</v>
      </c>
    </row>
    <row r="6" spans="1:4" x14ac:dyDescent="0.25">
      <c r="A6" s="102"/>
      <c r="B6" s="102"/>
      <c r="C6" s="104"/>
      <c r="D6" s="105"/>
    </row>
    <row r="7" spans="1:4" x14ac:dyDescent="0.25">
      <c r="A7" s="106" t="s">
        <v>69</v>
      </c>
      <c r="B7" s="107" t="str">
        <f>'PLANILHA ORÇAMENTÁRIA'!D7</f>
        <v>SERVIÇOS PRELIMINARES</v>
      </c>
      <c r="C7" s="108">
        <f>D7/$C$21</f>
        <v>5.1200351336950899E-3</v>
      </c>
      <c r="D7" s="110">
        <f>'PLANILHA ORÇAMENTÁRIA'!H7</f>
        <v>5060.68</v>
      </c>
    </row>
    <row r="8" spans="1:4" x14ac:dyDescent="0.25">
      <c r="A8" s="106"/>
      <c r="B8" s="107"/>
      <c r="C8" s="109"/>
      <c r="D8" s="110"/>
    </row>
    <row r="9" spans="1:4" x14ac:dyDescent="0.25">
      <c r="A9" s="106" t="s">
        <v>70</v>
      </c>
      <c r="B9" s="107" t="str">
        <f>'PLANILHA ORÇAMENTÁRIA'!D10</f>
        <v>PAVIMENTAÇÃO - RUA JOSÉ COLNAGO</v>
      </c>
      <c r="C9" s="108">
        <f t="shared" ref="C9" si="0">D9/$C$21</f>
        <v>0.3736679883620444</v>
      </c>
      <c r="D9" s="110">
        <f>'PLANILHA ORÇAMENTÁRIA'!H10</f>
        <v>369336.16</v>
      </c>
    </row>
    <row r="10" spans="1:4" x14ac:dyDescent="0.25">
      <c r="A10" s="106"/>
      <c r="B10" s="107"/>
      <c r="C10" s="109"/>
      <c r="D10" s="110"/>
    </row>
    <row r="11" spans="1:4" x14ac:dyDescent="0.25">
      <c r="A11" s="106" t="s">
        <v>71</v>
      </c>
      <c r="B11" s="107" t="str">
        <f>'PLANILHA ORÇAMENTÁRIA'!D20</f>
        <v>SINALIZAÇÃO HORIZONTAL E VERTICAL - RUA JOSÉ COLNAGO</v>
      </c>
      <c r="C11" s="108">
        <f t="shared" ref="C11" si="1">D11/$C$21</f>
        <v>3.9408349966827431E-3</v>
      </c>
      <c r="D11" s="110">
        <f>'PLANILHA ORÇAMENTÁRIA'!H20</f>
        <v>3895.1499999999996</v>
      </c>
    </row>
    <row r="12" spans="1:4" x14ac:dyDescent="0.25">
      <c r="A12" s="106"/>
      <c r="B12" s="107"/>
      <c r="C12" s="109"/>
      <c r="D12" s="110"/>
    </row>
    <row r="13" spans="1:4" x14ac:dyDescent="0.25">
      <c r="A13" s="121" t="str">
        <f>"04"</f>
        <v>04</v>
      </c>
      <c r="B13" s="107" t="str">
        <f>'PLANILHA ORÇAMENTÁRIA'!D24</f>
        <v>PAVIMENTAÇÃO - ALAMEDA ANTÔNIO FERREIRA DE JESUS</v>
      </c>
      <c r="C13" s="108">
        <f t="shared" ref="C13" si="2">D13/$C$21</f>
        <v>0.18356391506950454</v>
      </c>
      <c r="D13" s="110">
        <f>'PLANILHA ORÇAMENTÁRIA'!H24</f>
        <v>181435.91</v>
      </c>
    </row>
    <row r="14" spans="1:4" x14ac:dyDescent="0.25">
      <c r="A14" s="121"/>
      <c r="B14" s="107"/>
      <c r="C14" s="109"/>
      <c r="D14" s="110"/>
    </row>
    <row r="15" spans="1:4" x14ac:dyDescent="0.25">
      <c r="A15" s="121" t="str">
        <f>"05"</f>
        <v>05</v>
      </c>
      <c r="B15" s="107" t="str">
        <f>'PLANILHA ORÇAMENTÁRIA'!D36</f>
        <v>SINALIZAÇÃO HORIZONTAL E VERTICAL - ALAMEDA ANTÔNIO FERREIRA DE JESUS</v>
      </c>
      <c r="C15" s="108">
        <f t="shared" ref="C15" si="3">D15/$C$21</f>
        <v>1.0026231292023668E-4</v>
      </c>
      <c r="D15" s="110">
        <f>'PLANILHA ORÇAMENTÁRIA'!H36</f>
        <v>99.1</v>
      </c>
    </row>
    <row r="16" spans="1:4" x14ac:dyDescent="0.25">
      <c r="A16" s="121"/>
      <c r="B16" s="107"/>
      <c r="C16" s="109"/>
      <c r="D16" s="110"/>
    </row>
    <row r="17" spans="1:4" x14ac:dyDescent="0.25">
      <c r="A17" s="121" t="str">
        <f>"06"</f>
        <v>06</v>
      </c>
      <c r="B17" s="107" t="str">
        <f>'PLANILHA ORÇAMENTÁRIA'!D38</f>
        <v>PAVIMENTAÇÃO - RUA DOM LUIZ SCORTEGAGNA</v>
      </c>
      <c r="C17" s="108">
        <f t="shared" ref="C17" si="4">D17/$C$21</f>
        <v>0.43332439842005216</v>
      </c>
      <c r="D17" s="110">
        <f>'PLANILHA ORÇAMENTÁRIA'!H38</f>
        <v>428300.99000000005</v>
      </c>
    </row>
    <row r="18" spans="1:4" x14ac:dyDescent="0.25">
      <c r="A18" s="121"/>
      <c r="B18" s="107"/>
      <c r="C18" s="109"/>
      <c r="D18" s="110"/>
    </row>
    <row r="19" spans="1:4" x14ac:dyDescent="0.25">
      <c r="A19" s="121" t="str">
        <f>"07"</f>
        <v>07</v>
      </c>
      <c r="B19" s="107" t="str">
        <f>'PLANILHA ORÇAMENTÁRIA'!D51</f>
        <v>SINALIZAÇÃO HORIZONTAL E VERTICAL - RUA DOM LUIZ SCORTEGAGNA</v>
      </c>
      <c r="C19" s="108">
        <f t="shared" ref="C19" si="5">D19/$C$21</f>
        <v>2.8256570510083658E-4</v>
      </c>
      <c r="D19" s="110">
        <f>'PLANILHA ORÇAMENTÁRIA'!H51</f>
        <v>279.29000000000002</v>
      </c>
    </row>
    <row r="20" spans="1:4" x14ac:dyDescent="0.25">
      <c r="A20" s="121"/>
      <c r="B20" s="107"/>
      <c r="C20" s="109"/>
      <c r="D20" s="110"/>
    </row>
    <row r="21" spans="1:4" x14ac:dyDescent="0.25">
      <c r="A21" s="112" t="s">
        <v>72</v>
      </c>
      <c r="B21" s="6" t="s">
        <v>73</v>
      </c>
      <c r="C21" s="113">
        <f>SUM(D7:D20)</f>
        <v>988407.28</v>
      </c>
      <c r="D21" s="114"/>
    </row>
    <row r="22" spans="1:4" x14ac:dyDescent="0.25">
      <c r="A22" s="112"/>
      <c r="B22" s="6" t="s">
        <v>74</v>
      </c>
      <c r="C22" s="115">
        <f>SUM('MEMÓRIA DE CÁLCULO'!E11,'MEMÓRIA DE CÁLCULO'!E30,'MEMÓRIA DE CÁLCULO'!E44)</f>
        <v>1379.4666502208252</v>
      </c>
      <c r="D22" s="116"/>
    </row>
    <row r="23" spans="1:4" x14ac:dyDescent="0.25">
      <c r="A23" s="112"/>
      <c r="B23" s="6" t="s">
        <v>75</v>
      </c>
      <c r="C23" s="117">
        <f>SUM('MEMÓRIA DE CÁLCULO'!L10,'MEMÓRIA DE CÁLCULO'!L30,'MEMÓRIA DE CÁLCULO'!L44)</f>
        <v>6900.79</v>
      </c>
      <c r="D23" s="118"/>
    </row>
    <row r="24" spans="1:4" x14ac:dyDescent="0.25">
      <c r="A24" s="112"/>
      <c r="B24" s="6" t="s">
        <v>76</v>
      </c>
      <c r="C24" s="117">
        <f>C21/C22</f>
        <v>716.51408161391623</v>
      </c>
      <c r="D24" s="118"/>
    </row>
    <row r="25" spans="1:4" x14ac:dyDescent="0.25">
      <c r="A25" s="112"/>
      <c r="B25" s="6" t="s">
        <v>77</v>
      </c>
      <c r="C25" s="119">
        <f>C21/C23</f>
        <v>143.23103296868911</v>
      </c>
      <c r="D25" s="120"/>
    </row>
    <row r="26" spans="1:4" x14ac:dyDescent="0.25">
      <c r="A26" s="7"/>
      <c r="B26" s="7"/>
      <c r="C26" s="7"/>
      <c r="D26" s="7"/>
    </row>
    <row r="27" spans="1:4" x14ac:dyDescent="0.25">
      <c r="A27" s="7"/>
      <c r="B27" s="7"/>
      <c r="C27" s="7"/>
      <c r="D27" s="7"/>
    </row>
    <row r="28" spans="1:4" x14ac:dyDescent="0.25">
      <c r="A28" s="7"/>
      <c r="B28" s="7"/>
      <c r="C28" s="7"/>
      <c r="D28" s="7"/>
    </row>
    <row r="29" spans="1:4" x14ac:dyDescent="0.25">
      <c r="A29" s="7"/>
      <c r="B29" s="7"/>
      <c r="C29" s="7"/>
      <c r="D29" s="7"/>
    </row>
    <row r="30" spans="1:4" x14ac:dyDescent="0.25">
      <c r="A30" s="7"/>
      <c r="B30" s="7"/>
      <c r="C30" s="7"/>
      <c r="D30" s="7"/>
    </row>
    <row r="31" spans="1:4" x14ac:dyDescent="0.25">
      <c r="A31" s="7"/>
      <c r="B31" s="7"/>
      <c r="C31" s="7"/>
      <c r="D31" s="7"/>
    </row>
    <row r="32" spans="1:4" x14ac:dyDescent="0.25">
      <c r="A32" s="7"/>
      <c r="B32" s="7"/>
      <c r="C32" s="7"/>
      <c r="D32" s="7"/>
    </row>
    <row r="33" spans="1:4" x14ac:dyDescent="0.25">
      <c r="A33" s="7"/>
      <c r="B33" s="7"/>
      <c r="C33" s="7"/>
      <c r="D33" s="7"/>
    </row>
    <row r="34" spans="1:4" x14ac:dyDescent="0.25">
      <c r="A34" s="7"/>
      <c r="B34" s="7"/>
      <c r="C34" s="7"/>
      <c r="D34" s="7"/>
    </row>
    <row r="35" spans="1:4" x14ac:dyDescent="0.25">
      <c r="A35" s="7"/>
      <c r="B35" s="7"/>
      <c r="C35" s="7"/>
      <c r="D35" s="7"/>
    </row>
    <row r="36" spans="1:4" x14ac:dyDescent="0.25">
      <c r="A36" s="7"/>
      <c r="B36" s="7"/>
      <c r="C36" s="7"/>
      <c r="D36" s="7"/>
    </row>
    <row r="37" spans="1:4" x14ac:dyDescent="0.25">
      <c r="A37" s="7"/>
      <c r="B37" s="7"/>
      <c r="C37" s="7"/>
      <c r="D37" s="7"/>
    </row>
    <row r="38" spans="1:4" x14ac:dyDescent="0.25">
      <c r="A38" s="7"/>
      <c r="B38" s="7"/>
      <c r="C38" s="7"/>
      <c r="D38" s="7"/>
    </row>
    <row r="39" spans="1:4" x14ac:dyDescent="0.25">
      <c r="A39" s="7"/>
      <c r="B39" s="7"/>
      <c r="C39" s="7"/>
      <c r="D39" s="7"/>
    </row>
    <row r="40" spans="1:4" x14ac:dyDescent="0.25">
      <c r="A40" s="7"/>
      <c r="B40" s="7"/>
      <c r="C40" s="7"/>
      <c r="D40" s="7"/>
    </row>
    <row r="41" spans="1:4" x14ac:dyDescent="0.25">
      <c r="A41" s="7"/>
      <c r="B41" s="7"/>
      <c r="C41" s="7"/>
      <c r="D41" s="7"/>
    </row>
    <row r="42" spans="1:4" x14ac:dyDescent="0.25">
      <c r="A42" s="7"/>
      <c r="B42" s="111" t="s">
        <v>78</v>
      </c>
      <c r="C42" s="111"/>
      <c r="D42" s="7"/>
    </row>
    <row r="43" spans="1:4" x14ac:dyDescent="0.25">
      <c r="A43" s="7"/>
      <c r="B43" s="111" t="s">
        <v>79</v>
      </c>
      <c r="C43" s="111"/>
      <c r="D43" s="7"/>
    </row>
    <row r="44" spans="1:4" x14ac:dyDescent="0.25">
      <c r="A44" s="7"/>
      <c r="B44" s="7"/>
      <c r="C44" s="7"/>
      <c r="D44" s="7"/>
    </row>
    <row r="45" spans="1:4" x14ac:dyDescent="0.25">
      <c r="A45" s="7"/>
      <c r="B45" s="7"/>
      <c r="C45" s="7"/>
      <c r="D45" s="7"/>
    </row>
    <row r="46" spans="1:4" x14ac:dyDescent="0.25">
      <c r="A46" s="7"/>
      <c r="B46" s="7"/>
      <c r="C46" s="7"/>
      <c r="D46" s="7"/>
    </row>
    <row r="47" spans="1:4" x14ac:dyDescent="0.25">
      <c r="A47" s="7"/>
      <c r="B47" s="7"/>
      <c r="C47" s="7"/>
      <c r="D47" s="7"/>
    </row>
    <row r="48" spans="1:4" x14ac:dyDescent="0.25">
      <c r="A48" s="7"/>
      <c r="B48" s="7"/>
      <c r="C48" s="7"/>
      <c r="D48" s="7"/>
    </row>
    <row r="49" spans="1:4" x14ac:dyDescent="0.25">
      <c r="A49" s="7"/>
      <c r="B49" s="7"/>
      <c r="C49" s="7"/>
      <c r="D49" s="7"/>
    </row>
    <row r="50" spans="1:4" x14ac:dyDescent="0.25">
      <c r="A50" s="7"/>
      <c r="B50" s="7"/>
      <c r="C50" s="7"/>
      <c r="D50" s="7"/>
    </row>
    <row r="51" spans="1:4" x14ac:dyDescent="0.25">
      <c r="A51" s="7"/>
      <c r="B51" s="7"/>
      <c r="C51" s="7"/>
      <c r="D51" s="7"/>
    </row>
    <row r="52" spans="1:4" x14ac:dyDescent="0.25">
      <c r="A52" s="7"/>
      <c r="B52" s="7"/>
      <c r="C52" s="7"/>
      <c r="D52" s="7"/>
    </row>
    <row r="53" spans="1:4" x14ac:dyDescent="0.25">
      <c r="A53" s="7"/>
      <c r="B53" s="7"/>
      <c r="C53" s="7"/>
      <c r="D53" s="7"/>
    </row>
    <row r="54" spans="1:4" x14ac:dyDescent="0.25">
      <c r="A54" s="7"/>
      <c r="B54" s="7"/>
      <c r="C54" s="7"/>
      <c r="D54" s="7"/>
    </row>
    <row r="55" spans="1:4" x14ac:dyDescent="0.25">
      <c r="A55" s="7"/>
      <c r="B55" s="7"/>
      <c r="C55" s="7"/>
      <c r="D55" s="7"/>
    </row>
    <row r="56" spans="1:4" x14ac:dyDescent="0.25">
      <c r="A56" s="7"/>
      <c r="B56" s="7"/>
      <c r="C56" s="7"/>
      <c r="D56" s="7"/>
    </row>
    <row r="57" spans="1:4" x14ac:dyDescent="0.25">
      <c r="A57" s="7"/>
      <c r="B57" s="7"/>
      <c r="C57" s="7"/>
      <c r="D57" s="7"/>
    </row>
    <row r="58" spans="1:4" x14ac:dyDescent="0.25">
      <c r="A58" s="7"/>
      <c r="B58" s="7"/>
      <c r="C58" s="7"/>
      <c r="D58" s="7"/>
    </row>
    <row r="59" spans="1:4" x14ac:dyDescent="0.25">
      <c r="A59" s="7"/>
      <c r="B59" s="7"/>
      <c r="C59" s="7"/>
      <c r="D59" s="7"/>
    </row>
    <row r="60" spans="1:4" x14ac:dyDescent="0.25">
      <c r="A60" s="7"/>
      <c r="B60" s="7"/>
      <c r="C60" s="7"/>
      <c r="D60" s="7"/>
    </row>
    <row r="61" spans="1:4" x14ac:dyDescent="0.25">
      <c r="A61" s="7"/>
      <c r="B61" s="7"/>
      <c r="C61" s="7"/>
      <c r="D61" s="7"/>
    </row>
    <row r="62" spans="1:4" x14ac:dyDescent="0.25">
      <c r="A62" s="7"/>
      <c r="B62" s="7"/>
      <c r="C62" s="7"/>
      <c r="D62" s="7"/>
    </row>
    <row r="63" spans="1:4" x14ac:dyDescent="0.25">
      <c r="A63" s="7"/>
      <c r="B63" s="7"/>
      <c r="C63" s="7"/>
      <c r="D63" s="7"/>
    </row>
    <row r="64" spans="1:4" x14ac:dyDescent="0.25">
      <c r="A64" s="7"/>
      <c r="B64" s="7"/>
      <c r="C64" s="7"/>
      <c r="D64" s="7"/>
    </row>
    <row r="65" spans="1:4" x14ac:dyDescent="0.25">
      <c r="A65" s="7"/>
      <c r="B65" s="7"/>
      <c r="C65" s="7"/>
      <c r="D65" s="7"/>
    </row>
  </sheetData>
  <mergeCells count="44">
    <mergeCell ref="A17:A18"/>
    <mergeCell ref="B17:B18"/>
    <mergeCell ref="C17:C18"/>
    <mergeCell ref="D17:D18"/>
    <mergeCell ref="A19:A20"/>
    <mergeCell ref="B19:B20"/>
    <mergeCell ref="C19:C20"/>
    <mergeCell ref="D19:D20"/>
    <mergeCell ref="A13:A14"/>
    <mergeCell ref="B13:B14"/>
    <mergeCell ref="C13:C14"/>
    <mergeCell ref="D13:D14"/>
    <mergeCell ref="A15:A16"/>
    <mergeCell ref="B15:B16"/>
    <mergeCell ref="C15:C16"/>
    <mergeCell ref="D15:D16"/>
    <mergeCell ref="B42:C42"/>
    <mergeCell ref="B43:C43"/>
    <mergeCell ref="A21:A25"/>
    <mergeCell ref="C21:D21"/>
    <mergeCell ref="C22:D22"/>
    <mergeCell ref="C23:D23"/>
    <mergeCell ref="C24:D24"/>
    <mergeCell ref="C25:D25"/>
    <mergeCell ref="A9:A10"/>
    <mergeCell ref="B9:B10"/>
    <mergeCell ref="C9:C10"/>
    <mergeCell ref="D9:D10"/>
    <mergeCell ref="A11:A12"/>
    <mergeCell ref="B11:B12"/>
    <mergeCell ref="C11:C12"/>
    <mergeCell ref="D11:D12"/>
    <mergeCell ref="C5:C6"/>
    <mergeCell ref="D5:D6"/>
    <mergeCell ref="A7:A8"/>
    <mergeCell ref="B7:B8"/>
    <mergeCell ref="C7:C8"/>
    <mergeCell ref="D7:D8"/>
    <mergeCell ref="A1:B1"/>
    <mergeCell ref="A2:B2"/>
    <mergeCell ref="A3:B3"/>
    <mergeCell ref="A4:B4"/>
    <mergeCell ref="A5:A6"/>
    <mergeCell ref="B5:B6"/>
  </mergeCells>
  <pageMargins left="0.511811024" right="0.511811024" top="1.5735416666666666" bottom="0.78740157499999996" header="0.31496062000000002" footer="0.31496062000000002"/>
  <pageSetup paperSize="9" scale="81" fitToHeight="0" orientation="portrait" verticalDpi="0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54"/>
  <sheetViews>
    <sheetView view="pageBreakPreview" zoomScaleNormal="100" zoomScaleSheetLayoutView="100" workbookViewId="0">
      <pane xSplit="8" ySplit="6" topLeftCell="I7" activePane="bottomRight" state="frozen"/>
      <selection pane="topRight" activeCell="I1" sqref="I1"/>
      <selection pane="bottomLeft" activeCell="A7" sqref="A7"/>
      <selection pane="bottomRight" activeCell="J6" sqref="J6"/>
    </sheetView>
  </sheetViews>
  <sheetFormatPr defaultRowHeight="15.75" x14ac:dyDescent="0.25"/>
  <cols>
    <col min="1" max="1" width="9.140625" style="19"/>
    <col min="2" max="2" width="9.85546875" style="19" bestFit="1" customWidth="1"/>
    <col min="3" max="3" width="9.140625" style="19"/>
    <col min="4" max="4" width="73" style="85" customWidth="1"/>
    <col min="5" max="5" width="11.28515625" style="19" bestFit="1" customWidth="1"/>
    <col min="6" max="6" width="10.42578125" style="86" customWidth="1"/>
    <col min="7" max="7" width="15.5703125" style="86" bestFit="1" customWidth="1"/>
    <col min="8" max="8" width="13.7109375" style="87" customWidth="1"/>
    <col min="9" max="16384" width="9.140625" style="20"/>
  </cols>
  <sheetData>
    <row r="1" spans="1:9" ht="30" customHeight="1" x14ac:dyDescent="0.25">
      <c r="A1" s="131" t="s">
        <v>134</v>
      </c>
      <c r="B1" s="131"/>
      <c r="C1" s="131"/>
      <c r="D1" s="131"/>
      <c r="E1" s="129" t="s">
        <v>9</v>
      </c>
      <c r="F1" s="129"/>
      <c r="G1" s="129"/>
      <c r="H1" s="129"/>
    </row>
    <row r="2" spans="1:9" x14ac:dyDescent="0.25">
      <c r="A2" s="130" t="s">
        <v>135</v>
      </c>
      <c r="B2" s="130"/>
      <c r="C2" s="130"/>
      <c r="D2" s="130"/>
      <c r="E2" s="79" t="s">
        <v>10</v>
      </c>
      <c r="F2" s="80">
        <v>43101</v>
      </c>
      <c r="G2" s="81" t="s">
        <v>12</v>
      </c>
      <c r="H2" s="18" t="s">
        <v>21</v>
      </c>
    </row>
    <row r="3" spans="1:9" x14ac:dyDescent="0.25">
      <c r="A3" s="130" t="s">
        <v>136</v>
      </c>
      <c r="B3" s="130"/>
      <c r="C3" s="130"/>
      <c r="D3" s="130"/>
      <c r="E3" s="79" t="s">
        <v>11</v>
      </c>
      <c r="F3" s="27">
        <v>0.29630000000000001</v>
      </c>
      <c r="G3" s="81" t="s">
        <v>170</v>
      </c>
      <c r="H3" s="92">
        <v>1.2833000000000001</v>
      </c>
    </row>
    <row r="4" spans="1:9" x14ac:dyDescent="0.25">
      <c r="A4" s="123" t="s">
        <v>143</v>
      </c>
      <c r="B4" s="124"/>
      <c r="C4" s="124"/>
      <c r="D4" s="125"/>
      <c r="E4" s="126" t="s">
        <v>138</v>
      </c>
      <c r="F4" s="127"/>
      <c r="G4" s="127"/>
      <c r="H4" s="128"/>
    </row>
    <row r="5" spans="1:9" ht="17.25" x14ac:dyDescent="0.25">
      <c r="A5" s="133" t="s">
        <v>0</v>
      </c>
      <c r="B5" s="133"/>
      <c r="C5" s="133" t="s">
        <v>3</v>
      </c>
      <c r="D5" s="133" t="s">
        <v>4</v>
      </c>
      <c r="E5" s="133" t="s">
        <v>5</v>
      </c>
      <c r="F5" s="134" t="s">
        <v>6</v>
      </c>
      <c r="G5" s="134" t="s">
        <v>7</v>
      </c>
      <c r="H5" s="132" t="s">
        <v>8</v>
      </c>
    </row>
    <row r="6" spans="1:9" ht="17.25" x14ac:dyDescent="0.25">
      <c r="A6" s="34" t="s">
        <v>1</v>
      </c>
      <c r="B6" s="34" t="s">
        <v>2</v>
      </c>
      <c r="C6" s="133"/>
      <c r="D6" s="133"/>
      <c r="E6" s="133"/>
      <c r="F6" s="134"/>
      <c r="G6" s="134"/>
      <c r="H6" s="132"/>
    </row>
    <row r="7" spans="1:9" s="82" customFormat="1" x14ac:dyDescent="0.25">
      <c r="A7" s="23"/>
      <c r="B7" s="23"/>
      <c r="C7" s="23" t="s">
        <v>13</v>
      </c>
      <c r="D7" s="24" t="s">
        <v>14</v>
      </c>
      <c r="E7" s="23"/>
      <c r="F7" s="31"/>
      <c r="G7" s="31"/>
      <c r="H7" s="25">
        <f>SUM(H8:H9)</f>
        <v>5060.68</v>
      </c>
    </row>
    <row r="8" spans="1:9" x14ac:dyDescent="0.25">
      <c r="A8" s="16" t="s">
        <v>21</v>
      </c>
      <c r="B8" s="16">
        <v>41500</v>
      </c>
      <c r="C8" s="16" t="s">
        <v>15</v>
      </c>
      <c r="D8" s="26" t="s">
        <v>169</v>
      </c>
      <c r="E8" s="16" t="s">
        <v>16</v>
      </c>
      <c r="F8" s="18">
        <f>'MEMÓRIA DE CÁLCULO'!L7</f>
        <v>8</v>
      </c>
      <c r="G8" s="18">
        <f>ROUND(142.24*(1+F3),2)</f>
        <v>184.39</v>
      </c>
      <c r="H8" s="18">
        <f>ROUND(G8*F8,2)</f>
        <v>1475.12</v>
      </c>
      <c r="I8" s="83"/>
    </row>
    <row r="9" spans="1:9" s="19" customFormat="1" ht="31.5" x14ac:dyDescent="0.25">
      <c r="A9" s="16" t="s">
        <v>21</v>
      </c>
      <c r="B9" s="16">
        <v>41531</v>
      </c>
      <c r="C9" s="16" t="s">
        <v>17</v>
      </c>
      <c r="D9" s="17" t="s">
        <v>22</v>
      </c>
      <c r="E9" s="16" t="s">
        <v>16</v>
      </c>
      <c r="F9" s="18">
        <f>'MEMÓRIA DE CÁLCULO'!L8</f>
        <v>8.8000000000000007</v>
      </c>
      <c r="G9" s="18">
        <f>ROUND(314.32*(1+F3),2)</f>
        <v>407.45</v>
      </c>
      <c r="H9" s="18">
        <f>ROUND(G9*F9,2)</f>
        <v>3585.56</v>
      </c>
    </row>
    <row r="10" spans="1:9" x14ac:dyDescent="0.25">
      <c r="A10" s="23"/>
      <c r="B10" s="23"/>
      <c r="C10" s="23" t="s">
        <v>18</v>
      </c>
      <c r="D10" s="24" t="s">
        <v>89</v>
      </c>
      <c r="E10" s="23"/>
      <c r="F10" s="25"/>
      <c r="G10" s="25"/>
      <c r="H10" s="25">
        <f>SUM(H11:H19)</f>
        <v>369336.16</v>
      </c>
    </row>
    <row r="11" spans="1:9" x14ac:dyDescent="0.25">
      <c r="A11" s="16" t="s">
        <v>21</v>
      </c>
      <c r="B11" s="16">
        <v>40112</v>
      </c>
      <c r="C11" s="16" t="s">
        <v>19</v>
      </c>
      <c r="D11" s="26" t="s">
        <v>23</v>
      </c>
      <c r="E11" s="16" t="s">
        <v>16</v>
      </c>
      <c r="F11" s="18">
        <f>'MEMÓRIA DE CÁLCULO'!L10</f>
        <v>3276.47</v>
      </c>
      <c r="G11" s="18">
        <f>ROUND(1.57*(1+F3),2)</f>
        <v>2.04</v>
      </c>
      <c r="H11" s="18">
        <f>ROUND(G11*F11,2)</f>
        <v>6684</v>
      </c>
    </row>
    <row r="12" spans="1:9" ht="31.5" x14ac:dyDescent="0.25">
      <c r="A12" s="16" t="s">
        <v>21</v>
      </c>
      <c r="B12" s="16">
        <v>40842</v>
      </c>
      <c r="C12" s="16" t="s">
        <v>20</v>
      </c>
      <c r="D12" s="17" t="s">
        <v>25</v>
      </c>
      <c r="E12" s="16" t="s">
        <v>26</v>
      </c>
      <c r="F12" s="18">
        <f>'MEMÓRIA DE CÁLCULO'!L11</f>
        <v>301.44</v>
      </c>
      <c r="G12" s="18">
        <f>ROUND(217.36*(1+$F$3),2)</f>
        <v>281.76</v>
      </c>
      <c r="H12" s="18">
        <f t="shared" ref="H12:H14" si="0">ROUND(G12*F12,2)</f>
        <v>84933.73</v>
      </c>
    </row>
    <row r="13" spans="1:9" ht="31.5" x14ac:dyDescent="0.25">
      <c r="A13" s="16" t="s">
        <v>21</v>
      </c>
      <c r="B13" s="16">
        <v>40844</v>
      </c>
      <c r="C13" s="16" t="s">
        <v>24</v>
      </c>
      <c r="D13" s="17" t="s">
        <v>27</v>
      </c>
      <c r="E13" s="16" t="s">
        <v>26</v>
      </c>
      <c r="F13" s="18">
        <f>'MEMÓRIA DE CÁLCULO'!L12</f>
        <v>301.44</v>
      </c>
      <c r="G13" s="18">
        <f>ROUND(222.69*(1+$F$3),2)</f>
        <v>288.67</v>
      </c>
      <c r="H13" s="18">
        <f t="shared" si="0"/>
        <v>87016.68</v>
      </c>
    </row>
    <row r="14" spans="1:9" x14ac:dyDescent="0.25">
      <c r="A14" s="16" t="s">
        <v>21</v>
      </c>
      <c r="B14" s="16">
        <v>60006</v>
      </c>
      <c r="C14" s="16" t="s">
        <v>28</v>
      </c>
      <c r="D14" s="26" t="s">
        <v>147</v>
      </c>
      <c r="E14" s="16" t="s">
        <v>26</v>
      </c>
      <c r="F14" s="18">
        <f>'MEMÓRIA DE CÁLCULO'!L13</f>
        <v>301.44</v>
      </c>
      <c r="G14" s="18">
        <f>ROUND(104.9*(1+$F$3),2)</f>
        <v>135.97999999999999</v>
      </c>
      <c r="H14" s="18">
        <f t="shared" si="0"/>
        <v>40989.81</v>
      </c>
    </row>
    <row r="15" spans="1:9" x14ac:dyDescent="0.25">
      <c r="A15" s="16" t="s">
        <v>21</v>
      </c>
      <c r="B15" s="16">
        <v>40972</v>
      </c>
      <c r="C15" s="16" t="s">
        <v>29</v>
      </c>
      <c r="D15" s="26" t="s">
        <v>30</v>
      </c>
      <c r="E15" s="16" t="s">
        <v>31</v>
      </c>
      <c r="F15" s="92">
        <f>'MEMÓRIA DE CÁLCULO'!L14</f>
        <v>0.15279999999999999</v>
      </c>
      <c r="G15" s="18">
        <f>ROUND(H12+H13,2)</f>
        <v>171950.41</v>
      </c>
      <c r="H15" s="18">
        <f>ROUND(G15*F15,2)</f>
        <v>26274.02</v>
      </c>
    </row>
    <row r="16" spans="1:9" x14ac:dyDescent="0.25">
      <c r="A16" s="16" t="s">
        <v>21</v>
      </c>
      <c r="B16" s="16">
        <v>42507</v>
      </c>
      <c r="C16" s="16" t="s">
        <v>80</v>
      </c>
      <c r="D16" s="77" t="s">
        <v>84</v>
      </c>
      <c r="E16" s="16" t="s">
        <v>88</v>
      </c>
      <c r="F16" s="18">
        <f>'MEMÓRIA DE CÁLCULO'!L15</f>
        <v>687.12</v>
      </c>
      <c r="G16" s="18">
        <v>24.15</v>
      </c>
      <c r="H16" s="18">
        <f t="shared" ref="H16:H19" si="1">ROUND(G16*F16,2)</f>
        <v>16593.95</v>
      </c>
    </row>
    <row r="17" spans="1:8" ht="21.75" customHeight="1" x14ac:dyDescent="0.25">
      <c r="A17" s="16" t="s">
        <v>21</v>
      </c>
      <c r="B17" s="16">
        <v>40141</v>
      </c>
      <c r="C17" s="16" t="s">
        <v>81</v>
      </c>
      <c r="D17" s="22" t="s">
        <v>85</v>
      </c>
      <c r="E17" s="16" t="s">
        <v>88</v>
      </c>
      <c r="F17" s="18">
        <f>'MEMÓRIA DE CÁLCULO'!L16</f>
        <v>1383.96</v>
      </c>
      <c r="G17" s="18">
        <v>50.56</v>
      </c>
      <c r="H17" s="18">
        <f t="shared" si="1"/>
        <v>69973.02</v>
      </c>
    </row>
    <row r="18" spans="1:8" x14ac:dyDescent="0.25">
      <c r="A18" s="16" t="s">
        <v>21</v>
      </c>
      <c r="B18" s="16">
        <v>40911</v>
      </c>
      <c r="C18" s="16" t="s">
        <v>82</v>
      </c>
      <c r="D18" s="22" t="s">
        <v>86</v>
      </c>
      <c r="E18" s="16" t="s">
        <v>16</v>
      </c>
      <c r="F18" s="18">
        <f>'MEMÓRIA DE CÁLCULO'!L17</f>
        <v>569.54999999999995</v>
      </c>
      <c r="G18" s="18">
        <v>44.07</v>
      </c>
      <c r="H18" s="18">
        <f t="shared" si="1"/>
        <v>25100.07</v>
      </c>
    </row>
    <row r="19" spans="1:8" ht="31.5" x14ac:dyDescent="0.25">
      <c r="A19" s="16" t="s">
        <v>21</v>
      </c>
      <c r="B19" s="16">
        <v>40912</v>
      </c>
      <c r="C19" s="16" t="s">
        <v>83</v>
      </c>
      <c r="D19" s="22" t="s">
        <v>87</v>
      </c>
      <c r="E19" s="16" t="s">
        <v>16</v>
      </c>
      <c r="F19" s="18">
        <f>'MEMÓRIA DE CÁLCULO'!L18</f>
        <v>131.68</v>
      </c>
      <c r="G19" s="18">
        <v>89.39</v>
      </c>
      <c r="H19" s="18">
        <f t="shared" si="1"/>
        <v>11770.88</v>
      </c>
    </row>
    <row r="20" spans="1:8" x14ac:dyDescent="0.25">
      <c r="A20" s="23"/>
      <c r="B20" s="23"/>
      <c r="C20" s="23" t="s">
        <v>32</v>
      </c>
      <c r="D20" s="24" t="s">
        <v>90</v>
      </c>
      <c r="E20" s="23"/>
      <c r="F20" s="31"/>
      <c r="G20" s="31"/>
      <c r="H20" s="25">
        <f>SUM(H21:H23)</f>
        <v>3895.1499999999996</v>
      </c>
    </row>
    <row r="21" spans="1:8" x14ac:dyDescent="0.25">
      <c r="A21" s="16" t="s">
        <v>21</v>
      </c>
      <c r="B21" s="16">
        <v>40145</v>
      </c>
      <c r="C21" s="16" t="s">
        <v>33</v>
      </c>
      <c r="D21" s="26" t="s">
        <v>34</v>
      </c>
      <c r="E21" s="16" t="s">
        <v>16</v>
      </c>
      <c r="F21" s="28">
        <f>'MEMÓRIA DE CÁLCULO'!L20</f>
        <v>1.71</v>
      </c>
      <c r="G21" s="28">
        <f>ROUND(347.5*(1+F3),2)</f>
        <v>450.46</v>
      </c>
      <c r="H21" s="18">
        <f>ROUND(G21*F21,2)</f>
        <v>770.29</v>
      </c>
    </row>
    <row r="22" spans="1:8" x14ac:dyDescent="0.25">
      <c r="A22" s="16" t="s">
        <v>21</v>
      </c>
      <c r="B22" s="16">
        <v>41526</v>
      </c>
      <c r="C22" s="16" t="s">
        <v>36</v>
      </c>
      <c r="D22" s="26" t="s">
        <v>35</v>
      </c>
      <c r="E22" s="16" t="s">
        <v>16</v>
      </c>
      <c r="F22" s="28">
        <f>'MEMÓRIA DE CÁLCULO'!L24</f>
        <v>110.98</v>
      </c>
      <c r="G22" s="28">
        <v>8.01</v>
      </c>
      <c r="H22" s="18">
        <f t="shared" ref="H22:H23" si="2">ROUND(G22*F22,2)</f>
        <v>888.95</v>
      </c>
    </row>
    <row r="23" spans="1:8" x14ac:dyDescent="0.25">
      <c r="A23" s="16" t="s">
        <v>21</v>
      </c>
      <c r="B23" s="16">
        <v>40146</v>
      </c>
      <c r="C23" s="16" t="s">
        <v>38</v>
      </c>
      <c r="D23" s="26" t="s">
        <v>37</v>
      </c>
      <c r="E23" s="16" t="s">
        <v>16</v>
      </c>
      <c r="F23" s="28">
        <f>'MEMÓRIA DE CÁLCULO'!L26</f>
        <v>139.57</v>
      </c>
      <c r="G23" s="28">
        <f>ROUND(12.36*(1+$F$3),2)</f>
        <v>16.02</v>
      </c>
      <c r="H23" s="18">
        <f t="shared" si="2"/>
        <v>2235.91</v>
      </c>
    </row>
    <row r="24" spans="1:8" x14ac:dyDescent="0.25">
      <c r="A24" s="23"/>
      <c r="B24" s="23"/>
      <c r="C24" s="23" t="s">
        <v>98</v>
      </c>
      <c r="D24" s="24" t="s">
        <v>112</v>
      </c>
      <c r="E24" s="23"/>
      <c r="F24" s="25"/>
      <c r="G24" s="25"/>
      <c r="H24" s="25">
        <f>SUM(H25:H35)</f>
        <v>181435.91</v>
      </c>
    </row>
    <row r="25" spans="1:8" x14ac:dyDescent="0.25">
      <c r="A25" s="16" t="s">
        <v>21</v>
      </c>
      <c r="B25" s="16">
        <v>40891</v>
      </c>
      <c r="C25" s="16" t="s">
        <v>99</v>
      </c>
      <c r="D25" s="26" t="s">
        <v>91</v>
      </c>
      <c r="E25" s="16" t="s">
        <v>16</v>
      </c>
      <c r="F25" s="18">
        <f>'MEMÓRIA DE CÁLCULO'!L28</f>
        <v>1119.02</v>
      </c>
      <c r="G25" s="18">
        <v>18.010000000000002</v>
      </c>
      <c r="H25" s="18">
        <f>ROUND(G25*F25,2)</f>
        <v>20153.55</v>
      </c>
    </row>
    <row r="26" spans="1:8" x14ac:dyDescent="0.25">
      <c r="A26" s="16" t="s">
        <v>21</v>
      </c>
      <c r="B26" s="16">
        <v>40754</v>
      </c>
      <c r="C26" s="16" t="s">
        <v>100</v>
      </c>
      <c r="D26" s="17" t="s">
        <v>92</v>
      </c>
      <c r="E26" s="16" t="s">
        <v>16</v>
      </c>
      <c r="F26" s="18">
        <f>'MEMÓRIA DE CÁLCULO'!L29</f>
        <v>1119.02</v>
      </c>
      <c r="G26" s="18">
        <v>1.17</v>
      </c>
      <c r="H26" s="18">
        <f t="shared" ref="H26:H35" si="3">ROUND(G26*F26,2)</f>
        <v>1309.25</v>
      </c>
    </row>
    <row r="27" spans="1:8" ht="34.5" customHeight="1" x14ac:dyDescent="0.25">
      <c r="A27" s="16" t="s">
        <v>21</v>
      </c>
      <c r="B27" s="16">
        <v>40885</v>
      </c>
      <c r="C27" s="16" t="s">
        <v>101</v>
      </c>
      <c r="D27" s="17" t="s">
        <v>93</v>
      </c>
      <c r="E27" s="16" t="s">
        <v>16</v>
      </c>
      <c r="F27" s="18">
        <f>'MEMÓRIA DE CÁLCULO'!L30</f>
        <v>1119.02</v>
      </c>
      <c r="G27" s="18">
        <v>88.42</v>
      </c>
      <c r="H27" s="18">
        <f t="shared" si="3"/>
        <v>98943.75</v>
      </c>
    </row>
    <row r="28" spans="1:8" x14ac:dyDescent="0.25">
      <c r="A28" s="16" t="s">
        <v>21</v>
      </c>
      <c r="B28" s="16">
        <v>40757</v>
      </c>
      <c r="C28" s="16" t="s">
        <v>102</v>
      </c>
      <c r="D28" s="17" t="s">
        <v>94</v>
      </c>
      <c r="E28" s="16" t="s">
        <v>95</v>
      </c>
      <c r="F28" s="18">
        <f>'MEMÓRIA DE CÁLCULO'!L31</f>
        <v>111.902</v>
      </c>
      <c r="G28" s="18">
        <v>18</v>
      </c>
      <c r="H28" s="18">
        <f t="shared" si="3"/>
        <v>2014.24</v>
      </c>
    </row>
    <row r="29" spans="1:8" ht="31.5" x14ac:dyDescent="0.25">
      <c r="A29" s="16" t="s">
        <v>21</v>
      </c>
      <c r="B29" s="16">
        <v>40780</v>
      </c>
      <c r="C29" s="16" t="s">
        <v>103</v>
      </c>
      <c r="D29" s="17" t="s">
        <v>96</v>
      </c>
      <c r="E29" s="16" t="s">
        <v>95</v>
      </c>
      <c r="F29" s="18">
        <f>'MEMÓRIA DE CÁLCULO'!L32</f>
        <v>167.85299999999998</v>
      </c>
      <c r="G29" s="18">
        <v>94.32</v>
      </c>
      <c r="H29" s="18">
        <f t="shared" si="3"/>
        <v>15831.89</v>
      </c>
    </row>
    <row r="30" spans="1:8" ht="15" customHeight="1" x14ac:dyDescent="0.25">
      <c r="A30" s="16" t="s">
        <v>21</v>
      </c>
      <c r="B30" s="16">
        <v>40816</v>
      </c>
      <c r="C30" s="16" t="s">
        <v>104</v>
      </c>
      <c r="D30" s="17" t="s">
        <v>97</v>
      </c>
      <c r="E30" s="16" t="s">
        <v>16</v>
      </c>
      <c r="F30" s="18">
        <f>'MEMÓRIA DE CÁLCULO'!L33</f>
        <v>1119.02</v>
      </c>
      <c r="G30" s="18">
        <v>0.8</v>
      </c>
      <c r="H30" s="18">
        <f t="shared" si="3"/>
        <v>895.22</v>
      </c>
    </row>
    <row r="31" spans="1:8" ht="31.5" x14ac:dyDescent="0.25">
      <c r="A31" s="16" t="s">
        <v>21</v>
      </c>
      <c r="B31" s="16">
        <v>60019</v>
      </c>
      <c r="C31" s="16" t="s">
        <v>105</v>
      </c>
      <c r="D31" s="22" t="s">
        <v>148</v>
      </c>
      <c r="E31" s="16" t="s">
        <v>26</v>
      </c>
      <c r="F31" s="18">
        <f>'MEMÓRIA DE CÁLCULO'!L34</f>
        <v>161.13888</v>
      </c>
      <c r="G31" s="18">
        <f>((0.835*2.3) + (0.923*0) + 1.466)*1.2963</f>
        <v>4.3899199499999995</v>
      </c>
      <c r="H31" s="18">
        <f t="shared" si="3"/>
        <v>707.39</v>
      </c>
    </row>
    <row r="32" spans="1:8" x14ac:dyDescent="0.25">
      <c r="A32" s="16" t="s">
        <v>21</v>
      </c>
      <c r="B32" s="16">
        <v>40911</v>
      </c>
      <c r="C32" s="16" t="s">
        <v>106</v>
      </c>
      <c r="D32" s="77" t="s">
        <v>86</v>
      </c>
      <c r="E32" s="16" t="s">
        <v>16</v>
      </c>
      <c r="F32" s="18">
        <f>'MEMÓRIA DE CÁLCULO'!L35</f>
        <v>117.26</v>
      </c>
      <c r="G32" s="18">
        <v>44.07</v>
      </c>
      <c r="H32" s="18">
        <f t="shared" si="3"/>
        <v>5167.6499999999996</v>
      </c>
    </row>
    <row r="33" spans="1:8" x14ac:dyDescent="0.25">
      <c r="A33" s="16" t="s">
        <v>21</v>
      </c>
      <c r="B33" s="16">
        <v>40972</v>
      </c>
      <c r="C33" s="16" t="s">
        <v>107</v>
      </c>
      <c r="D33" s="77" t="s">
        <v>30</v>
      </c>
      <c r="E33" s="16" t="s">
        <v>31</v>
      </c>
      <c r="F33" s="27">
        <v>0.15279999999999999</v>
      </c>
      <c r="G33" s="18">
        <f>H30</f>
        <v>895.22</v>
      </c>
      <c r="H33" s="18">
        <f t="shared" si="3"/>
        <v>136.79</v>
      </c>
    </row>
    <row r="34" spans="1:8" x14ac:dyDescent="0.25">
      <c r="A34" s="16" t="s">
        <v>21</v>
      </c>
      <c r="B34" s="16">
        <v>42507</v>
      </c>
      <c r="C34" s="16" t="s">
        <v>108</v>
      </c>
      <c r="D34" s="77" t="s">
        <v>84</v>
      </c>
      <c r="E34" s="16" t="s">
        <v>88</v>
      </c>
      <c r="F34" s="28">
        <f>'MEMÓRIA DE CÁLCULO'!L36</f>
        <v>485.56</v>
      </c>
      <c r="G34" s="18">
        <v>24.15</v>
      </c>
      <c r="H34" s="18">
        <f t="shared" si="3"/>
        <v>11726.27</v>
      </c>
    </row>
    <row r="35" spans="1:8" ht="31.5" x14ac:dyDescent="0.25">
      <c r="A35" s="16" t="s">
        <v>21</v>
      </c>
      <c r="B35" s="16">
        <v>40141</v>
      </c>
      <c r="C35" s="16" t="s">
        <v>109</v>
      </c>
      <c r="D35" s="22" t="s">
        <v>85</v>
      </c>
      <c r="E35" s="16" t="s">
        <v>88</v>
      </c>
      <c r="F35" s="28">
        <f>'MEMÓRIA DE CÁLCULO'!L37</f>
        <v>485.56</v>
      </c>
      <c r="G35" s="18">
        <v>50.56</v>
      </c>
      <c r="H35" s="18">
        <f t="shared" si="3"/>
        <v>24549.91</v>
      </c>
    </row>
    <row r="36" spans="1:8" x14ac:dyDescent="0.25">
      <c r="A36" s="23"/>
      <c r="B36" s="23"/>
      <c r="C36" s="23" t="s">
        <v>110</v>
      </c>
      <c r="D36" s="29" t="s">
        <v>113</v>
      </c>
      <c r="E36" s="30"/>
      <c r="F36" s="31"/>
      <c r="G36" s="31"/>
      <c r="H36" s="25">
        <f>SUM(H37:H37)</f>
        <v>99.1</v>
      </c>
    </row>
    <row r="37" spans="1:8" x14ac:dyDescent="0.25">
      <c r="A37" s="16" t="s">
        <v>21</v>
      </c>
      <c r="B37" s="16">
        <v>40145</v>
      </c>
      <c r="C37" s="16" t="s">
        <v>111</v>
      </c>
      <c r="D37" s="26" t="s">
        <v>34</v>
      </c>
      <c r="E37" s="16" t="s">
        <v>16</v>
      </c>
      <c r="F37" s="28">
        <f>'MEMÓRIA DE CÁLCULO'!L39</f>
        <v>0.22</v>
      </c>
      <c r="G37" s="28">
        <v>450.46</v>
      </c>
      <c r="H37" s="18">
        <f>ROUND(G37*F37,2)</f>
        <v>99.1</v>
      </c>
    </row>
    <row r="38" spans="1:8" x14ac:dyDescent="0.25">
      <c r="A38" s="23"/>
      <c r="B38" s="23"/>
      <c r="C38" s="23" t="s">
        <v>114</v>
      </c>
      <c r="D38" s="24" t="s">
        <v>127</v>
      </c>
      <c r="E38" s="23"/>
      <c r="F38" s="25"/>
      <c r="G38" s="25"/>
      <c r="H38" s="25">
        <f>SUM(H39:H50)</f>
        <v>428300.99000000005</v>
      </c>
    </row>
    <row r="39" spans="1:8" x14ac:dyDescent="0.25">
      <c r="A39" s="16" t="s">
        <v>21</v>
      </c>
      <c r="B39" s="16">
        <v>40891</v>
      </c>
      <c r="C39" s="16" t="s">
        <v>115</v>
      </c>
      <c r="D39" s="26" t="s">
        <v>91</v>
      </c>
      <c r="E39" s="16" t="s">
        <v>16</v>
      </c>
      <c r="F39" s="18">
        <f>'MEMÓRIA DE CÁLCULO'!L42</f>
        <v>2505.3000000000002</v>
      </c>
      <c r="G39" s="18">
        <v>18.010000000000002</v>
      </c>
      <c r="H39" s="18">
        <f>ROUND(G39*F39,2)</f>
        <v>45120.45</v>
      </c>
    </row>
    <row r="40" spans="1:8" x14ac:dyDescent="0.25">
      <c r="A40" s="16" t="s">
        <v>21</v>
      </c>
      <c r="B40" s="16">
        <v>40754</v>
      </c>
      <c r="C40" s="16" t="s">
        <v>116</v>
      </c>
      <c r="D40" s="17" t="s">
        <v>92</v>
      </c>
      <c r="E40" s="16" t="s">
        <v>16</v>
      </c>
      <c r="F40" s="18">
        <f>'MEMÓRIA DE CÁLCULO'!L43</f>
        <v>2505.3000000000002</v>
      </c>
      <c r="G40" s="18">
        <v>1.17</v>
      </c>
      <c r="H40" s="18">
        <f t="shared" ref="H40:H50" si="4">ROUND(G40*F40,2)</f>
        <v>2931.2</v>
      </c>
    </row>
    <row r="41" spans="1:8" ht="47.25" x14ac:dyDescent="0.25">
      <c r="A41" s="16" t="s">
        <v>21</v>
      </c>
      <c r="B41" s="16">
        <v>40885</v>
      </c>
      <c r="C41" s="16" t="s">
        <v>117</v>
      </c>
      <c r="D41" s="17" t="s">
        <v>93</v>
      </c>
      <c r="E41" s="16" t="s">
        <v>16</v>
      </c>
      <c r="F41" s="18">
        <f>'MEMÓRIA DE CÁLCULO'!L44</f>
        <v>2505.3000000000002</v>
      </c>
      <c r="G41" s="18">
        <v>88.42</v>
      </c>
      <c r="H41" s="18">
        <f t="shared" si="4"/>
        <v>221518.63</v>
      </c>
    </row>
    <row r="42" spans="1:8" x14ac:dyDescent="0.25">
      <c r="A42" s="16" t="s">
        <v>21</v>
      </c>
      <c r="B42" s="16">
        <v>40757</v>
      </c>
      <c r="C42" s="16" t="s">
        <v>118</v>
      </c>
      <c r="D42" s="17" t="s">
        <v>94</v>
      </c>
      <c r="E42" s="16" t="s">
        <v>95</v>
      </c>
      <c r="F42" s="18">
        <f>'MEMÓRIA DE CÁLCULO'!L45</f>
        <v>250.53000000000003</v>
      </c>
      <c r="G42" s="18">
        <v>18</v>
      </c>
      <c r="H42" s="18">
        <f t="shared" si="4"/>
        <v>4509.54</v>
      </c>
    </row>
    <row r="43" spans="1:8" ht="34.5" customHeight="1" x14ac:dyDescent="0.25">
      <c r="A43" s="16" t="s">
        <v>21</v>
      </c>
      <c r="B43" s="16">
        <v>40780</v>
      </c>
      <c r="C43" s="16" t="s">
        <v>119</v>
      </c>
      <c r="D43" s="17" t="s">
        <v>96</v>
      </c>
      <c r="E43" s="16" t="s">
        <v>95</v>
      </c>
      <c r="F43" s="18">
        <f>'MEMÓRIA DE CÁLCULO'!L46</f>
        <v>375.79500000000002</v>
      </c>
      <c r="G43" s="18">
        <v>94.32</v>
      </c>
      <c r="H43" s="18">
        <f t="shared" si="4"/>
        <v>35444.980000000003</v>
      </c>
    </row>
    <row r="44" spans="1:8" ht="31.5" x14ac:dyDescent="0.25">
      <c r="A44" s="16" t="s">
        <v>21</v>
      </c>
      <c r="B44" s="16">
        <v>40816</v>
      </c>
      <c r="C44" s="16" t="s">
        <v>120</v>
      </c>
      <c r="D44" s="17" t="s">
        <v>97</v>
      </c>
      <c r="E44" s="16" t="s">
        <v>16</v>
      </c>
      <c r="F44" s="18">
        <f>'MEMÓRIA DE CÁLCULO'!L47</f>
        <v>2505.3000000000002</v>
      </c>
      <c r="G44" s="18">
        <v>0.8</v>
      </c>
      <c r="H44" s="18">
        <f t="shared" si="4"/>
        <v>2004.24</v>
      </c>
    </row>
    <row r="45" spans="1:8" ht="36.75" customHeight="1" x14ac:dyDescent="0.25">
      <c r="A45" s="16" t="s">
        <v>21</v>
      </c>
      <c r="B45" s="16">
        <v>60019</v>
      </c>
      <c r="C45" s="16" t="s">
        <v>121</v>
      </c>
      <c r="D45" s="22" t="s">
        <v>146</v>
      </c>
      <c r="E45" s="16" t="s">
        <v>26</v>
      </c>
      <c r="F45" s="18">
        <f>'MEMÓRIA DE CÁLCULO'!L48</f>
        <v>601.27200000000005</v>
      </c>
      <c r="G45" s="18">
        <f>(0.835*2.5 + 0.923*0 + 1.466)*1.2963</f>
        <v>4.6064020499999998</v>
      </c>
      <c r="H45" s="18">
        <f t="shared" si="4"/>
        <v>2769.7</v>
      </c>
    </row>
    <row r="46" spans="1:8" x14ac:dyDescent="0.25">
      <c r="A46" s="16" t="s">
        <v>21</v>
      </c>
      <c r="B46" s="16">
        <v>40972</v>
      </c>
      <c r="C46" s="16" t="s">
        <v>122</v>
      </c>
      <c r="D46" s="77" t="s">
        <v>30</v>
      </c>
      <c r="E46" s="16" t="s">
        <v>31</v>
      </c>
      <c r="F46" s="27">
        <v>0.15279999999999999</v>
      </c>
      <c r="G46" s="18">
        <f>H44</f>
        <v>2004.24</v>
      </c>
      <c r="H46" s="18">
        <f t="shared" si="4"/>
        <v>306.25</v>
      </c>
    </row>
    <row r="47" spans="1:8" x14ac:dyDescent="0.25">
      <c r="A47" s="16" t="s">
        <v>21</v>
      </c>
      <c r="B47" s="16">
        <v>42507</v>
      </c>
      <c r="C47" s="16" t="s">
        <v>123</v>
      </c>
      <c r="D47" s="77" t="s">
        <v>84</v>
      </c>
      <c r="E47" s="16" t="s">
        <v>88</v>
      </c>
      <c r="F47" s="28">
        <f>'MEMÓRIA DE CÁLCULO'!L49</f>
        <v>790.34</v>
      </c>
      <c r="G47" s="18">
        <v>24.15</v>
      </c>
      <c r="H47" s="18">
        <f t="shared" si="4"/>
        <v>19086.71</v>
      </c>
    </row>
    <row r="48" spans="1:8" ht="31.5" x14ac:dyDescent="0.25">
      <c r="A48" s="16" t="s">
        <v>21</v>
      </c>
      <c r="B48" s="16">
        <v>40141</v>
      </c>
      <c r="C48" s="16" t="s">
        <v>124</v>
      </c>
      <c r="D48" s="22" t="s">
        <v>85</v>
      </c>
      <c r="E48" s="16" t="s">
        <v>88</v>
      </c>
      <c r="F48" s="28">
        <f>'MEMÓRIA DE CÁLCULO'!L50</f>
        <v>802.94</v>
      </c>
      <c r="G48" s="18">
        <v>50.56</v>
      </c>
      <c r="H48" s="18">
        <f t="shared" si="4"/>
        <v>40596.65</v>
      </c>
    </row>
    <row r="49" spans="1:8" x14ac:dyDescent="0.25">
      <c r="A49" s="16" t="s">
        <v>21</v>
      </c>
      <c r="B49" s="16">
        <v>40911</v>
      </c>
      <c r="C49" s="16" t="s">
        <v>125</v>
      </c>
      <c r="D49" s="22" t="s">
        <v>86</v>
      </c>
      <c r="E49" s="16" t="s">
        <v>16</v>
      </c>
      <c r="F49" s="28">
        <f>'MEMÓRIA DE CÁLCULO'!L51</f>
        <v>915.95999999999992</v>
      </c>
      <c r="G49" s="18">
        <v>44.07</v>
      </c>
      <c r="H49" s="18">
        <f t="shared" si="4"/>
        <v>40366.36</v>
      </c>
    </row>
    <row r="50" spans="1:8" ht="31.5" x14ac:dyDescent="0.25">
      <c r="A50" s="16" t="s">
        <v>21</v>
      </c>
      <c r="B50" s="16">
        <v>40912</v>
      </c>
      <c r="C50" s="16" t="s">
        <v>126</v>
      </c>
      <c r="D50" s="22" t="s">
        <v>87</v>
      </c>
      <c r="E50" s="16" t="s">
        <v>16</v>
      </c>
      <c r="F50" s="28">
        <f>'MEMÓRIA DE CÁLCULO'!L52</f>
        <v>152.66</v>
      </c>
      <c r="G50" s="18">
        <v>89.39</v>
      </c>
      <c r="H50" s="18">
        <f t="shared" si="4"/>
        <v>13646.28</v>
      </c>
    </row>
    <row r="51" spans="1:8" x14ac:dyDescent="0.25">
      <c r="A51" s="23"/>
      <c r="B51" s="23"/>
      <c r="C51" s="23" t="s">
        <v>128</v>
      </c>
      <c r="D51" s="24" t="s">
        <v>130</v>
      </c>
      <c r="E51" s="23"/>
      <c r="F51" s="31"/>
      <c r="G51" s="31"/>
      <c r="H51" s="25">
        <f>SUM(H52:H52)</f>
        <v>279.29000000000002</v>
      </c>
    </row>
    <row r="52" spans="1:8" x14ac:dyDescent="0.25">
      <c r="A52" s="16" t="s">
        <v>21</v>
      </c>
      <c r="B52" s="16">
        <v>40145</v>
      </c>
      <c r="C52" s="16" t="s">
        <v>129</v>
      </c>
      <c r="D52" s="26" t="s">
        <v>34</v>
      </c>
      <c r="E52" s="16" t="s">
        <v>16</v>
      </c>
      <c r="F52" s="28">
        <f>'MEMÓRIA DE CÁLCULO'!L54</f>
        <v>0.62</v>
      </c>
      <c r="G52" s="28">
        <v>450.46</v>
      </c>
      <c r="H52" s="18">
        <f>ROUND(G52*F52,2)</f>
        <v>279.29000000000002</v>
      </c>
    </row>
    <row r="53" spans="1:8" x14ac:dyDescent="0.25">
      <c r="A53" s="122" t="s">
        <v>65</v>
      </c>
      <c r="B53" s="122"/>
      <c r="C53" s="122"/>
      <c r="D53" s="122"/>
      <c r="E53" s="122"/>
      <c r="F53" s="122"/>
      <c r="G53" s="122"/>
      <c r="H53" s="76">
        <f>SUM(H51,H38,H36,H24,H20,H10,H7)</f>
        <v>988407.28000000014</v>
      </c>
    </row>
    <row r="54" spans="1:8" x14ac:dyDescent="0.25">
      <c r="A54" s="84"/>
    </row>
  </sheetData>
  <mergeCells count="14">
    <mergeCell ref="A53:G53"/>
    <mergeCell ref="A4:D4"/>
    <mergeCell ref="E4:H4"/>
    <mergeCell ref="E1:H1"/>
    <mergeCell ref="A3:D3"/>
    <mergeCell ref="A1:D1"/>
    <mergeCell ref="H5:H6"/>
    <mergeCell ref="A2:D2"/>
    <mergeCell ref="A5:B5"/>
    <mergeCell ref="C5:C6"/>
    <mergeCell ref="D5:D6"/>
    <mergeCell ref="E5:E6"/>
    <mergeCell ref="F5:F6"/>
    <mergeCell ref="G5:G6"/>
  </mergeCells>
  <pageMargins left="0.51181102362204722" right="0.51181102362204722" top="1.4173228346456694" bottom="0.78740157480314965" header="0.31496062992125984" footer="0.31496062992125984"/>
  <pageSetup paperSize="9" scale="89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56"/>
  <sheetViews>
    <sheetView view="pageBreakPreview" zoomScale="90" zoomScaleNormal="100" zoomScaleSheetLayoutView="90" workbookViewId="0">
      <selection activeCell="C32" sqref="C32"/>
    </sheetView>
  </sheetViews>
  <sheetFormatPr defaultRowHeight="15.75" x14ac:dyDescent="0.25"/>
  <cols>
    <col min="1" max="1" width="7.85546875" style="32" customWidth="1"/>
    <col min="2" max="2" width="73.42578125" style="9" customWidth="1"/>
    <col min="3" max="3" width="13" style="32" customWidth="1"/>
    <col min="4" max="4" width="13" style="33" customWidth="1"/>
    <col min="5" max="5" width="13.28515625" style="33" customWidth="1"/>
    <col min="6" max="10" width="9.140625" style="33"/>
    <col min="11" max="11" width="11.85546875" style="33" bestFit="1" customWidth="1"/>
    <col min="12" max="12" width="11.7109375" style="33" customWidth="1"/>
    <col min="13" max="16384" width="9.140625" style="9"/>
  </cols>
  <sheetData>
    <row r="1" spans="1:12" ht="33" customHeight="1" x14ac:dyDescent="0.25">
      <c r="A1" s="135" t="s">
        <v>139</v>
      </c>
      <c r="B1" s="135"/>
      <c r="C1" s="135"/>
      <c r="D1" s="135"/>
      <c r="E1" s="136"/>
      <c r="F1" s="141" t="s">
        <v>39</v>
      </c>
      <c r="G1" s="141"/>
      <c r="H1" s="141"/>
      <c r="I1" s="141"/>
      <c r="J1" s="141"/>
      <c r="K1" s="141"/>
      <c r="L1" s="141"/>
    </row>
    <row r="2" spans="1:12" ht="17.25" customHeight="1" x14ac:dyDescent="0.25">
      <c r="A2" s="137" t="s">
        <v>140</v>
      </c>
      <c r="B2" s="137"/>
      <c r="C2" s="137"/>
      <c r="D2" s="137"/>
      <c r="E2" s="138"/>
      <c r="F2" s="141"/>
      <c r="G2" s="141"/>
      <c r="H2" s="141"/>
      <c r="I2" s="141"/>
      <c r="J2" s="141"/>
      <c r="K2" s="141"/>
      <c r="L2" s="141"/>
    </row>
    <row r="3" spans="1:12" ht="17.25" customHeight="1" x14ac:dyDescent="0.25">
      <c r="A3" s="137" t="s">
        <v>141</v>
      </c>
      <c r="B3" s="137"/>
      <c r="C3" s="137"/>
      <c r="D3" s="137"/>
      <c r="E3" s="138"/>
      <c r="F3" s="141"/>
      <c r="G3" s="141"/>
      <c r="H3" s="141"/>
      <c r="I3" s="141"/>
      <c r="J3" s="141"/>
      <c r="K3" s="141"/>
      <c r="L3" s="141"/>
    </row>
    <row r="4" spans="1:12" s="49" customFormat="1" ht="17.25" customHeight="1" x14ac:dyDescent="0.3">
      <c r="A4" s="142" t="s">
        <v>142</v>
      </c>
      <c r="B4" s="143"/>
      <c r="C4" s="144" t="s">
        <v>138</v>
      </c>
      <c r="D4" s="145"/>
      <c r="E4" s="146"/>
      <c r="F4" s="141"/>
      <c r="G4" s="141"/>
      <c r="H4" s="141"/>
      <c r="I4" s="141"/>
      <c r="J4" s="141"/>
      <c r="K4" s="141"/>
      <c r="L4" s="141"/>
    </row>
    <row r="5" spans="1:12" x14ac:dyDescent="0.25">
      <c r="A5" s="70" t="s">
        <v>3</v>
      </c>
      <c r="B5" s="71" t="s">
        <v>40</v>
      </c>
      <c r="C5" s="71" t="s">
        <v>41</v>
      </c>
      <c r="D5" s="72" t="s">
        <v>6</v>
      </c>
      <c r="E5" s="72" t="s">
        <v>42</v>
      </c>
      <c r="F5" s="72" t="s">
        <v>43</v>
      </c>
      <c r="G5" s="72" t="s">
        <v>44</v>
      </c>
      <c r="H5" s="72" t="s">
        <v>45</v>
      </c>
      <c r="I5" s="72" t="s">
        <v>46</v>
      </c>
      <c r="J5" s="72" t="s">
        <v>48</v>
      </c>
      <c r="K5" s="72" t="s">
        <v>47</v>
      </c>
      <c r="L5" s="72" t="s">
        <v>8</v>
      </c>
    </row>
    <row r="6" spans="1:12" s="15" customFormat="1" x14ac:dyDescent="0.25">
      <c r="A6" s="73" t="s">
        <v>13</v>
      </c>
      <c r="B6" s="74" t="str">
        <f>'PLANILHA ORÇAMENTÁRIA'!D7</f>
        <v>SERVIÇOS PRELIMINARES</v>
      </c>
      <c r="C6" s="73"/>
      <c r="D6" s="75"/>
      <c r="E6" s="75"/>
      <c r="F6" s="75"/>
      <c r="G6" s="75"/>
      <c r="H6" s="75"/>
      <c r="I6" s="75"/>
      <c r="J6" s="75"/>
      <c r="K6" s="75"/>
      <c r="L6" s="75"/>
    </row>
    <row r="7" spans="1:12" x14ac:dyDescent="0.25">
      <c r="A7" s="10" t="s">
        <v>15</v>
      </c>
      <c r="B7" s="35" t="str">
        <f>'PLANILHA ORÇAMENTÁRIA'!D8</f>
        <v>Placa de obra nas dimensões de 2,0 x 4,0 m, padrão SEDURB</v>
      </c>
      <c r="C7" s="10" t="s">
        <v>16</v>
      </c>
      <c r="D7" s="13">
        <v>1</v>
      </c>
      <c r="E7" s="13">
        <v>4</v>
      </c>
      <c r="F7" s="13" t="s">
        <v>49</v>
      </c>
      <c r="G7" s="13">
        <v>2</v>
      </c>
      <c r="H7" s="13">
        <f>G7*E7</f>
        <v>8</v>
      </c>
      <c r="I7" s="13" t="s">
        <v>49</v>
      </c>
      <c r="J7" s="13" t="s">
        <v>49</v>
      </c>
      <c r="K7" s="13" t="s">
        <v>49</v>
      </c>
      <c r="L7" s="8">
        <f>H7</f>
        <v>8</v>
      </c>
    </row>
    <row r="8" spans="1:12" s="20" customFormat="1" ht="37.5" customHeight="1" x14ac:dyDescent="0.25">
      <c r="A8" s="16" t="s">
        <v>17</v>
      </c>
      <c r="B8" s="22" t="str">
        <f>'PLANILHA ORÇAMENTÁRIA'!D9</f>
        <v>Barracão em chapa compensada 12mm e pont. 8x8cm, piso cimentado e cobertura de telhas fibrocimento 6mm, incl. ponto de luz</v>
      </c>
      <c r="C8" s="16" t="s">
        <v>16</v>
      </c>
      <c r="D8" s="18">
        <v>1</v>
      </c>
      <c r="E8" s="18">
        <v>4</v>
      </c>
      <c r="F8" s="18">
        <v>2.2000000000000002</v>
      </c>
      <c r="G8" s="18" t="s">
        <v>49</v>
      </c>
      <c r="H8" s="18">
        <f>F8*E8</f>
        <v>8.8000000000000007</v>
      </c>
      <c r="I8" s="18" t="s">
        <v>49</v>
      </c>
      <c r="J8" s="18" t="s">
        <v>49</v>
      </c>
      <c r="K8" s="18" t="s">
        <v>49</v>
      </c>
      <c r="L8" s="76">
        <f>H8</f>
        <v>8.8000000000000007</v>
      </c>
    </row>
    <row r="9" spans="1:12" x14ac:dyDescent="0.25">
      <c r="A9" s="73" t="s">
        <v>18</v>
      </c>
      <c r="B9" s="74" t="str">
        <f>'PLANILHA ORÇAMENTÁRIA'!D10</f>
        <v>PAVIMENTAÇÃO - RUA JOSÉ COLNAGO</v>
      </c>
      <c r="C9" s="73"/>
      <c r="D9" s="75"/>
      <c r="E9" s="75"/>
      <c r="F9" s="75"/>
      <c r="G9" s="75"/>
      <c r="H9" s="75"/>
      <c r="I9" s="75"/>
      <c r="J9" s="75"/>
      <c r="K9" s="75"/>
      <c r="L9" s="75"/>
    </row>
    <row r="10" spans="1:12" s="20" customFormat="1" x14ac:dyDescent="0.25">
      <c r="A10" s="16" t="s">
        <v>19</v>
      </c>
      <c r="B10" s="77" t="str">
        <f>'PLANILHA ORÇAMENTÁRIA'!D11</f>
        <v>Pintura de ligação, inclusive fornecimento e transporte da emulsão</v>
      </c>
      <c r="C10" s="16" t="s">
        <v>16</v>
      </c>
      <c r="D10" s="18" t="s">
        <v>49</v>
      </c>
      <c r="E10" s="18">
        <v>697.84</v>
      </c>
      <c r="F10" s="18">
        <f>H10/E10</f>
        <v>4.6951593488478727</v>
      </c>
      <c r="G10" s="18" t="s">
        <v>49</v>
      </c>
      <c r="H10" s="18">
        <v>3276.47</v>
      </c>
      <c r="I10" s="18" t="s">
        <v>49</v>
      </c>
      <c r="J10" s="18" t="s">
        <v>49</v>
      </c>
      <c r="K10" s="18" t="s">
        <v>49</v>
      </c>
      <c r="L10" s="76">
        <f>H10</f>
        <v>3276.47</v>
      </c>
    </row>
    <row r="11" spans="1:12" s="20" customFormat="1" ht="31.5" x14ac:dyDescent="0.25">
      <c r="A11" s="16" t="s">
        <v>20</v>
      </c>
      <c r="B11" s="22" t="str">
        <f>'PLANILHA ORÇAMENTÁRIA'!D12</f>
        <v>CBUQ (camada pronta - binder) inclusive fornecimento e transporte comercial do CAP, exclusive transporte da massa</v>
      </c>
      <c r="C11" s="16" t="s">
        <v>26</v>
      </c>
      <c r="D11" s="18" t="s">
        <v>49</v>
      </c>
      <c r="E11" s="18">
        <v>697.84</v>
      </c>
      <c r="F11" s="18">
        <f t="shared" ref="F11:F13" si="0">H11/E11</f>
        <v>4.6951593488478727</v>
      </c>
      <c r="G11" s="18">
        <v>0.04</v>
      </c>
      <c r="H11" s="18">
        <v>3276.47</v>
      </c>
      <c r="I11" s="18">
        <f>ROUND(H11*G11,2)</f>
        <v>131.06</v>
      </c>
      <c r="J11" s="18">
        <v>2.2999999999999998</v>
      </c>
      <c r="K11" s="18" t="s">
        <v>49</v>
      </c>
      <c r="L11" s="76">
        <f>ROUND(J11*I11,2)</f>
        <v>301.44</v>
      </c>
    </row>
    <row r="12" spans="1:12" s="20" customFormat="1" ht="31.5" x14ac:dyDescent="0.25">
      <c r="A12" s="16" t="s">
        <v>24</v>
      </c>
      <c r="B12" s="22" t="str">
        <f>'PLANILHA ORÇAMENTÁRIA'!D13</f>
        <v>CBUQ (camada pronta - capa) inclusive fornecimento e transporte comercial do CAP, exclusive transporte da massa</v>
      </c>
      <c r="C12" s="16" t="s">
        <v>26</v>
      </c>
      <c r="D12" s="18" t="s">
        <v>49</v>
      </c>
      <c r="E12" s="18">
        <v>697.84</v>
      </c>
      <c r="F12" s="18">
        <f t="shared" si="0"/>
        <v>4.6951593488478727</v>
      </c>
      <c r="G12" s="18">
        <v>0.04</v>
      </c>
      <c r="H12" s="18">
        <v>3276.47</v>
      </c>
      <c r="I12" s="18">
        <f>ROUND(H12*G12,2)</f>
        <v>131.06</v>
      </c>
      <c r="J12" s="18">
        <v>2.2999999999999998</v>
      </c>
      <c r="K12" s="18" t="s">
        <v>49</v>
      </c>
      <c r="L12" s="76">
        <f>ROUND(J12*I12,2)</f>
        <v>301.44</v>
      </c>
    </row>
    <row r="13" spans="1:12" s="20" customFormat="1" x14ac:dyDescent="0.25">
      <c r="A13" s="16" t="s">
        <v>28</v>
      </c>
      <c r="B13" s="77" t="str">
        <f>'PLANILHA ORÇAMENTÁRIA'!D14</f>
        <v>TR-301-00 (Massa Asfáltica) 0,974XP + 1,011XR + 7,495 (XP = 100, XR = 0)</v>
      </c>
      <c r="C13" s="16" t="s">
        <v>26</v>
      </c>
      <c r="D13" s="18" t="s">
        <v>49</v>
      </c>
      <c r="E13" s="18">
        <v>697.84</v>
      </c>
      <c r="F13" s="18">
        <f t="shared" si="0"/>
        <v>4.6951593488478727</v>
      </c>
      <c r="G13" s="18">
        <v>0.04</v>
      </c>
      <c r="H13" s="18">
        <v>3276.47</v>
      </c>
      <c r="I13" s="18">
        <f>ROUND(H13*G13,2)</f>
        <v>131.06</v>
      </c>
      <c r="J13" s="18">
        <v>2.2999999999999998</v>
      </c>
      <c r="K13" s="18" t="s">
        <v>49</v>
      </c>
      <c r="L13" s="76">
        <f>ROUND(J13*I13,2)</f>
        <v>301.44</v>
      </c>
    </row>
    <row r="14" spans="1:12" s="20" customFormat="1" x14ac:dyDescent="0.25">
      <c r="A14" s="16" t="s">
        <v>29</v>
      </c>
      <c r="B14" s="77" t="str">
        <f>'PLANILHA ORÇAMENTÁRIA'!D15</f>
        <v>Bonificação de 15,28% sobre Materiais Betuminosos</v>
      </c>
      <c r="C14" s="16" t="s">
        <v>31</v>
      </c>
      <c r="D14" s="18" t="s">
        <v>49</v>
      </c>
      <c r="E14" s="18" t="s">
        <v>49</v>
      </c>
      <c r="F14" s="18" t="s">
        <v>49</v>
      </c>
      <c r="G14" s="18" t="s">
        <v>49</v>
      </c>
      <c r="H14" s="18" t="s">
        <v>49</v>
      </c>
      <c r="I14" s="18" t="s">
        <v>49</v>
      </c>
      <c r="J14" s="18" t="s">
        <v>49</v>
      </c>
      <c r="K14" s="18" t="s">
        <v>49</v>
      </c>
      <c r="L14" s="93">
        <v>0.15279999999999999</v>
      </c>
    </row>
    <row r="15" spans="1:12" s="20" customFormat="1" x14ac:dyDescent="0.25">
      <c r="A15" s="16" t="s">
        <v>80</v>
      </c>
      <c r="B15" s="77" t="str">
        <f>'PLANILHA ORÇAMENTÁRIA'!D16</f>
        <v>Remoção de meio fio em Vias Urbanas</v>
      </c>
      <c r="C15" s="16" t="str">
        <f>'PLANILHA ORÇAMENTÁRIA'!E16</f>
        <v>m</v>
      </c>
      <c r="D15" s="18">
        <v>1</v>
      </c>
      <c r="E15" s="18">
        <v>697.84</v>
      </c>
      <c r="F15" s="18" t="s">
        <v>49</v>
      </c>
      <c r="G15" s="18" t="s">
        <v>49</v>
      </c>
      <c r="H15" s="18" t="s">
        <v>49</v>
      </c>
      <c r="I15" s="18" t="s">
        <v>49</v>
      </c>
      <c r="J15" s="18" t="s">
        <v>49</v>
      </c>
      <c r="K15" s="18">
        <v>10.72</v>
      </c>
      <c r="L15" s="76">
        <f>(E15*D15)-K15</f>
        <v>687.12</v>
      </c>
    </row>
    <row r="16" spans="1:12" s="20" customFormat="1" ht="31.5" x14ac:dyDescent="0.25">
      <c r="A16" s="16" t="s">
        <v>81</v>
      </c>
      <c r="B16" s="22" t="str">
        <f>'PLANILHA ORÇAMENTÁRIA'!D17</f>
        <v>Meio-fio pré-moldado em concreto, inclusive caiação e transporte do meio-fio</v>
      </c>
      <c r="C16" s="16" t="str">
        <f>'PLANILHA ORÇAMENTÁRIA'!E17</f>
        <v>m</v>
      </c>
      <c r="D16" s="18">
        <v>2</v>
      </c>
      <c r="E16" s="18">
        <v>697.84</v>
      </c>
      <c r="F16" s="18" t="s">
        <v>49</v>
      </c>
      <c r="G16" s="18" t="s">
        <v>49</v>
      </c>
      <c r="H16" s="18" t="s">
        <v>49</v>
      </c>
      <c r="I16" s="18" t="s">
        <v>49</v>
      </c>
      <c r="J16" s="18" t="s">
        <v>49</v>
      </c>
      <c r="K16" s="18">
        <v>11.72</v>
      </c>
      <c r="L16" s="76">
        <f>(E16*D16)-K16</f>
        <v>1383.96</v>
      </c>
    </row>
    <row r="17" spans="1:12" s="20" customFormat="1" x14ac:dyDescent="0.25">
      <c r="A17" s="16" t="s">
        <v>82</v>
      </c>
      <c r="B17" s="77" t="str">
        <f>'PLANILHA ORÇAMENTÁRIA'!D18</f>
        <v>Calçada de concreto</v>
      </c>
      <c r="C17" s="16" t="str">
        <f>'PLANILHA ORÇAMENTÁRIA'!E18</f>
        <v>m²</v>
      </c>
      <c r="D17" s="18">
        <v>1</v>
      </c>
      <c r="E17" s="18">
        <v>697.84</v>
      </c>
      <c r="F17" s="18">
        <f>H17/E17</f>
        <v>0.81616129771867463</v>
      </c>
      <c r="G17" s="18" t="s">
        <v>49</v>
      </c>
      <c r="H17" s="18">
        <v>569.54999999999995</v>
      </c>
      <c r="I17" s="18" t="s">
        <v>49</v>
      </c>
      <c r="J17" s="18" t="s">
        <v>49</v>
      </c>
      <c r="K17" s="18" t="s">
        <v>49</v>
      </c>
      <c r="L17" s="76">
        <f>H17</f>
        <v>569.54999999999995</v>
      </c>
    </row>
    <row r="18" spans="1:12" s="20" customFormat="1" ht="31.5" x14ac:dyDescent="0.25">
      <c r="A18" s="16" t="s">
        <v>83</v>
      </c>
      <c r="B18" s="22" t="str">
        <f>'PLANILHA ORÇAMENTÁRIA'!D19</f>
        <v>Ladrilho hidráulico (argamassa cimento e areia 1:4), fornecimento e assentamento</v>
      </c>
      <c r="C18" s="16" t="str">
        <f>'PLANILHA ORÇAMENTÁRIA'!E19</f>
        <v>m²</v>
      </c>
      <c r="D18" s="18">
        <v>1</v>
      </c>
      <c r="E18" s="18">
        <v>658.4</v>
      </c>
      <c r="F18" s="18">
        <v>0.2</v>
      </c>
      <c r="G18" s="18" t="s">
        <v>49</v>
      </c>
      <c r="H18" s="18">
        <f>F18*E18</f>
        <v>131.68</v>
      </c>
      <c r="I18" s="18" t="s">
        <v>49</v>
      </c>
      <c r="J18" s="18" t="s">
        <v>49</v>
      </c>
      <c r="K18" s="18" t="s">
        <v>49</v>
      </c>
      <c r="L18" s="76">
        <f>H18</f>
        <v>131.68</v>
      </c>
    </row>
    <row r="19" spans="1:12" x14ac:dyDescent="0.25">
      <c r="A19" s="73" t="s">
        <v>32</v>
      </c>
      <c r="B19" s="74" t="str">
        <f>'PLANILHA ORÇAMENTÁRIA'!D20</f>
        <v>SINALIZAÇÃO HORIZONTAL E VERTICAL - RUA JOSÉ COLNAGO</v>
      </c>
      <c r="C19" s="73"/>
      <c r="D19" s="75"/>
      <c r="E19" s="75"/>
      <c r="F19" s="75"/>
      <c r="G19" s="75"/>
      <c r="H19" s="75"/>
      <c r="I19" s="75"/>
      <c r="J19" s="75"/>
      <c r="K19" s="75"/>
      <c r="L19" s="75"/>
    </row>
    <row r="20" spans="1:12" x14ac:dyDescent="0.25">
      <c r="A20" s="10" t="s">
        <v>33</v>
      </c>
      <c r="B20" s="21" t="str">
        <f>'PLANILHA ORÇAMENTÁRIA'!D21</f>
        <v>Sinalização vertical, inclusive transporte de placa sinalização e madeira</v>
      </c>
      <c r="C20" s="10" t="s">
        <v>16</v>
      </c>
      <c r="D20" s="13" t="s">
        <v>49</v>
      </c>
      <c r="E20" s="13" t="s">
        <v>49</v>
      </c>
      <c r="F20" s="13" t="s">
        <v>49</v>
      </c>
      <c r="G20" s="13" t="s">
        <v>49</v>
      </c>
      <c r="H20" s="13" t="s">
        <v>49</v>
      </c>
      <c r="I20" s="13" t="s">
        <v>49</v>
      </c>
      <c r="J20" s="13" t="s">
        <v>49</v>
      </c>
      <c r="K20" s="13" t="s">
        <v>49</v>
      </c>
      <c r="L20" s="8">
        <f>SUM(L21:L23)</f>
        <v>1.71</v>
      </c>
    </row>
    <row r="21" spans="1:12" s="50" customFormat="1" ht="12.75" x14ac:dyDescent="0.2">
      <c r="A21" s="51"/>
      <c r="B21" s="52" t="s">
        <v>50</v>
      </c>
      <c r="C21" s="53"/>
      <c r="D21" s="54">
        <v>3</v>
      </c>
      <c r="E21" s="54" t="s">
        <v>49</v>
      </c>
      <c r="F21" s="54" t="s">
        <v>49</v>
      </c>
      <c r="G21" s="54" t="s">
        <v>49</v>
      </c>
      <c r="H21" s="54">
        <v>0.22</v>
      </c>
      <c r="I21" s="54" t="s">
        <v>49</v>
      </c>
      <c r="J21" s="54" t="s">
        <v>49</v>
      </c>
      <c r="K21" s="54" t="s">
        <v>49</v>
      </c>
      <c r="L21" s="55">
        <f>ROUND(H21*D21,2)</f>
        <v>0.66</v>
      </c>
    </row>
    <row r="22" spans="1:12" s="50" customFormat="1" ht="12.75" x14ac:dyDescent="0.2">
      <c r="A22" s="56"/>
      <c r="B22" s="57" t="s">
        <v>51</v>
      </c>
      <c r="C22" s="58"/>
      <c r="D22" s="59">
        <v>5</v>
      </c>
      <c r="E22" s="59" t="s">
        <v>49</v>
      </c>
      <c r="F22" s="59" t="s">
        <v>49</v>
      </c>
      <c r="G22" s="59" t="s">
        <v>49</v>
      </c>
      <c r="H22" s="59">
        <v>0.13</v>
      </c>
      <c r="I22" s="59" t="s">
        <v>49</v>
      </c>
      <c r="J22" s="59" t="s">
        <v>49</v>
      </c>
      <c r="K22" s="59" t="s">
        <v>49</v>
      </c>
      <c r="L22" s="60">
        <f t="shared" ref="L22:L23" si="1">ROUND(H22*D22,2)</f>
        <v>0.65</v>
      </c>
    </row>
    <row r="23" spans="1:12" s="50" customFormat="1" ht="12.75" x14ac:dyDescent="0.2">
      <c r="A23" s="61"/>
      <c r="B23" s="62" t="s">
        <v>52</v>
      </c>
      <c r="C23" s="63"/>
      <c r="D23" s="63">
        <v>2</v>
      </c>
      <c r="E23" s="63" t="s">
        <v>49</v>
      </c>
      <c r="F23" s="63" t="s">
        <v>49</v>
      </c>
      <c r="G23" s="63" t="s">
        <v>49</v>
      </c>
      <c r="H23" s="63">
        <v>0.2</v>
      </c>
      <c r="I23" s="63" t="s">
        <v>49</v>
      </c>
      <c r="J23" s="63" t="s">
        <v>49</v>
      </c>
      <c r="K23" s="63" t="s">
        <v>49</v>
      </c>
      <c r="L23" s="64">
        <f t="shared" si="1"/>
        <v>0.4</v>
      </c>
    </row>
    <row r="24" spans="1:12" x14ac:dyDescent="0.25">
      <c r="A24" s="10" t="s">
        <v>36</v>
      </c>
      <c r="B24" s="21" t="str">
        <f>'PLANILHA ORÇAMENTÁRIA'!D22</f>
        <v>Pintura acrílica sobre capa asfáltica</v>
      </c>
      <c r="C24" s="10" t="s">
        <v>16</v>
      </c>
      <c r="D24" s="13"/>
      <c r="E24" s="13"/>
      <c r="F24" s="13"/>
      <c r="G24" s="13"/>
      <c r="H24" s="13"/>
      <c r="I24" s="13"/>
      <c r="J24" s="13"/>
      <c r="K24" s="13"/>
      <c r="L24" s="8">
        <f>L25</f>
        <v>110.98</v>
      </c>
    </row>
    <row r="25" spans="1:12" s="50" customFormat="1" ht="12.75" x14ac:dyDescent="0.2">
      <c r="A25" s="1"/>
      <c r="B25" s="65" t="s">
        <v>53</v>
      </c>
      <c r="C25" s="66"/>
      <c r="D25" s="67">
        <v>5</v>
      </c>
      <c r="E25" s="67">
        <v>7.16</v>
      </c>
      <c r="F25" s="67">
        <v>3.1</v>
      </c>
      <c r="G25" s="67" t="s">
        <v>49</v>
      </c>
      <c r="H25" s="67">
        <f>F25*E25</f>
        <v>22.196000000000002</v>
      </c>
      <c r="I25" s="67" t="s">
        <v>49</v>
      </c>
      <c r="J25" s="67" t="s">
        <v>49</v>
      </c>
      <c r="K25" s="67" t="s">
        <v>49</v>
      </c>
      <c r="L25" s="68">
        <f>H25*D25</f>
        <v>110.98</v>
      </c>
    </row>
    <row r="26" spans="1:12" x14ac:dyDescent="0.25">
      <c r="A26" s="10" t="s">
        <v>38</v>
      </c>
      <c r="B26" s="21" t="str">
        <f>'PLANILHA ORÇAMENTÁRIA'!D23</f>
        <v>Sinalização horizontal - taxa 0,6 l/m², tudo incluído</v>
      </c>
      <c r="C26" s="10" t="s">
        <v>16</v>
      </c>
      <c r="D26" s="13">
        <v>2</v>
      </c>
      <c r="E26" s="13">
        <v>697.84</v>
      </c>
      <c r="F26" s="13">
        <v>0.1</v>
      </c>
      <c r="G26" s="13" t="s">
        <v>49</v>
      </c>
      <c r="H26" s="13">
        <f>E26*F26</f>
        <v>69.784000000000006</v>
      </c>
      <c r="I26" s="13" t="s">
        <v>49</v>
      </c>
      <c r="J26" s="13" t="s">
        <v>49</v>
      </c>
      <c r="K26" s="13" t="s">
        <v>49</v>
      </c>
      <c r="L26" s="8">
        <f>ROUND(H26*D26,2)</f>
        <v>139.57</v>
      </c>
    </row>
    <row r="27" spans="1:12" x14ac:dyDescent="0.25">
      <c r="A27" s="73" t="s">
        <v>98</v>
      </c>
      <c r="B27" s="74" t="str">
        <f>'PLANILHA ORÇAMENTÁRIA'!D24</f>
        <v>PAVIMENTAÇÃO - ALAMEDA ANTÔNIO FERREIRA DE JESUS</v>
      </c>
      <c r="C27" s="73"/>
      <c r="D27" s="75"/>
      <c r="E27" s="75"/>
      <c r="F27" s="75"/>
      <c r="G27" s="75"/>
      <c r="H27" s="75"/>
      <c r="I27" s="75"/>
      <c r="J27" s="75"/>
      <c r="K27" s="75"/>
      <c r="L27" s="75"/>
    </row>
    <row r="28" spans="1:12" x14ac:dyDescent="0.25">
      <c r="A28" s="16" t="s">
        <v>99</v>
      </c>
      <c r="B28" s="22" t="str">
        <f>'PLANILHA ORÇAMENTÁRIA'!D25</f>
        <v>Remoção de pavimentação poliédrica</v>
      </c>
      <c r="C28" s="16" t="str">
        <f>'PLANILHA ORÇAMENTÁRIA'!E25</f>
        <v>m²</v>
      </c>
      <c r="D28" s="18" t="s">
        <v>49</v>
      </c>
      <c r="E28" s="18">
        <f t="shared" ref="E28:E29" si="2">H28/F28</f>
        <v>272.93170731707318</v>
      </c>
      <c r="F28" s="18">
        <v>4.0999999999999996</v>
      </c>
      <c r="G28" s="18" t="s">
        <v>49</v>
      </c>
      <c r="H28" s="18">
        <v>1119.02</v>
      </c>
      <c r="I28" s="18" t="s">
        <v>49</v>
      </c>
      <c r="J28" s="18" t="s">
        <v>49</v>
      </c>
      <c r="K28" s="18" t="s">
        <v>49</v>
      </c>
      <c r="L28" s="76">
        <f>H28</f>
        <v>1119.02</v>
      </c>
    </row>
    <row r="29" spans="1:12" x14ac:dyDescent="0.25">
      <c r="A29" s="16" t="s">
        <v>100</v>
      </c>
      <c r="B29" s="22" t="str">
        <f>'PLANILHA ORÇAMENTÁRIA'!D26</f>
        <v>Regularização e compactação do sub-leito (100% P.I.) H = 0,20 m</v>
      </c>
      <c r="C29" s="16" t="str">
        <f>'PLANILHA ORÇAMENTÁRIA'!E26</f>
        <v>m²</v>
      </c>
      <c r="D29" s="18" t="s">
        <v>49</v>
      </c>
      <c r="E29" s="18">
        <f t="shared" si="2"/>
        <v>272.93170731707318</v>
      </c>
      <c r="F29" s="18">
        <v>4.0999999999999996</v>
      </c>
      <c r="G29" s="18" t="s">
        <v>49</v>
      </c>
      <c r="H29" s="18">
        <v>1119.02</v>
      </c>
      <c r="I29" s="18" t="s">
        <v>49</v>
      </c>
      <c r="J29" s="18" t="s">
        <v>49</v>
      </c>
      <c r="K29" s="18" t="s">
        <v>49</v>
      </c>
      <c r="L29" s="76">
        <f>H29</f>
        <v>1119.02</v>
      </c>
    </row>
    <row r="30" spans="1:12" ht="47.25" x14ac:dyDescent="0.25">
      <c r="A30" s="16" t="s">
        <v>101</v>
      </c>
      <c r="B30" s="22" t="str">
        <f>'PLANILHA ORÇAMENTÁRIA'!D27</f>
        <v>Pavimentação com blocos de concreto (35 MPa), esp. = 10 cm, sobre colchão areia esp.= 5cm, inclusive fornecimento e transporte dos blocos e areia</v>
      </c>
      <c r="C30" s="16" t="str">
        <f>'PLANILHA ORÇAMENTÁRIA'!E27</f>
        <v>m²</v>
      </c>
      <c r="D30" s="18" t="s">
        <v>49</v>
      </c>
      <c r="E30" s="18">
        <f>H30/F30</f>
        <v>272.93170731707318</v>
      </c>
      <c r="F30" s="18">
        <v>4.0999999999999996</v>
      </c>
      <c r="G30" s="18" t="s">
        <v>49</v>
      </c>
      <c r="H30" s="18">
        <v>1119.02</v>
      </c>
      <c r="I30" s="18" t="s">
        <v>49</v>
      </c>
      <c r="J30" s="18" t="s">
        <v>49</v>
      </c>
      <c r="K30" s="18" t="s">
        <v>49</v>
      </c>
      <c r="L30" s="76">
        <f>H30</f>
        <v>1119.02</v>
      </c>
    </row>
    <row r="31" spans="1:12" x14ac:dyDescent="0.25">
      <c r="A31" s="16" t="s">
        <v>102</v>
      </c>
      <c r="B31" s="22" t="str">
        <f>'PLANILHA ORÇAMENTÁRIA'!D28</f>
        <v>Estabilização granulométrica de solo s/ mistura 100% P.I.</v>
      </c>
      <c r="C31" s="16" t="str">
        <f>'PLANILHA ORÇAMENTÁRIA'!E28</f>
        <v>m³</v>
      </c>
      <c r="D31" s="18" t="s">
        <v>49</v>
      </c>
      <c r="E31" s="18">
        <f t="shared" ref="E31:E34" si="3">H31/F31</f>
        <v>272.93170731707318</v>
      </c>
      <c r="F31" s="18">
        <v>4.0999999999999996</v>
      </c>
      <c r="G31" s="18">
        <v>0.1</v>
      </c>
      <c r="H31" s="18">
        <v>1119.02</v>
      </c>
      <c r="I31" s="18">
        <f>H31*G31</f>
        <v>111.902</v>
      </c>
      <c r="J31" s="18" t="s">
        <v>49</v>
      </c>
      <c r="K31" s="18" t="s">
        <v>49</v>
      </c>
      <c r="L31" s="76">
        <f>I31</f>
        <v>111.902</v>
      </c>
    </row>
    <row r="32" spans="1:12" ht="31.5" x14ac:dyDescent="0.25">
      <c r="A32" s="16" t="s">
        <v>103</v>
      </c>
      <c r="B32" s="22" t="str">
        <f>'PLANILHA ORÇAMENTÁRIA'!D29</f>
        <v xml:space="preserve">Sub-base solo brita, 50% em peso, inclusive fornecimento e transporte da brita (XP = 2,75; XR =26,55) (0,647XP + 0,674XR + 2,698) </v>
      </c>
      <c r="C32" s="16" t="str">
        <f>'PLANILHA ORÇAMENTÁRIA'!E29</f>
        <v>m³</v>
      </c>
      <c r="D32" s="18" t="s">
        <v>49</v>
      </c>
      <c r="E32" s="18">
        <f t="shared" si="3"/>
        <v>272.93170731707318</v>
      </c>
      <c r="F32" s="18">
        <v>4.0999999999999996</v>
      </c>
      <c r="G32" s="18">
        <v>0.15</v>
      </c>
      <c r="H32" s="18">
        <v>1119.02</v>
      </c>
      <c r="I32" s="18">
        <f>H32*G32</f>
        <v>167.85299999999998</v>
      </c>
      <c r="J32" s="18" t="s">
        <v>49</v>
      </c>
      <c r="K32" s="18" t="s">
        <v>49</v>
      </c>
      <c r="L32" s="76">
        <f>I32</f>
        <v>167.85299999999998</v>
      </c>
    </row>
    <row r="33" spans="1:12" ht="31.5" x14ac:dyDescent="0.25">
      <c r="A33" s="16" t="s">
        <v>104</v>
      </c>
      <c r="B33" s="22" t="str">
        <f>'PLANILHA ORÇAMENTÁRIA'!D30</f>
        <v>Imprimação exclusive fornecimento e transporte comercial do material betuminoso</v>
      </c>
      <c r="C33" s="16" t="str">
        <f>'PLANILHA ORÇAMENTÁRIA'!E30</f>
        <v>m²</v>
      </c>
      <c r="D33" s="18" t="s">
        <v>49</v>
      </c>
      <c r="E33" s="18">
        <f t="shared" si="3"/>
        <v>272.93170731707318</v>
      </c>
      <c r="F33" s="18">
        <v>4.0999999999999996</v>
      </c>
      <c r="G33" s="18" t="s">
        <v>49</v>
      </c>
      <c r="H33" s="18">
        <v>1119.02</v>
      </c>
      <c r="I33" s="18" t="s">
        <v>49</v>
      </c>
      <c r="J33" s="18" t="s">
        <v>49</v>
      </c>
      <c r="K33" s="18" t="s">
        <v>49</v>
      </c>
      <c r="L33" s="76">
        <f>H33</f>
        <v>1119.02</v>
      </c>
    </row>
    <row r="34" spans="1:12" ht="31.5" x14ac:dyDescent="0.25">
      <c r="A34" s="16" t="s">
        <v>105</v>
      </c>
      <c r="B34" s="22" t="str">
        <f>'PLANILHA ORÇAMENTÁRIA'!D31</f>
        <v>LOCAL COM DMT ATÉ 3,0 KM (Caminhão basculante) (Remoção de pavimentação poliédrica) 0,835XP + 0,923XR + 1,466 (XP = 2,3; XR = 0)</v>
      </c>
      <c r="C34" s="16" t="str">
        <f>'PLANILHA ORÇAMENTÁRIA'!E31</f>
        <v>t</v>
      </c>
      <c r="D34" s="18" t="s">
        <v>49</v>
      </c>
      <c r="E34" s="18">
        <f t="shared" si="3"/>
        <v>272.93170731707318</v>
      </c>
      <c r="F34" s="18">
        <v>4.0999999999999996</v>
      </c>
      <c r="G34" s="18">
        <v>0.06</v>
      </c>
      <c r="H34" s="18">
        <v>1119.02</v>
      </c>
      <c r="I34" s="18">
        <f>H34*G34</f>
        <v>67.141199999999998</v>
      </c>
      <c r="J34" s="18">
        <v>2.4</v>
      </c>
      <c r="K34" s="18" t="s">
        <v>49</v>
      </c>
      <c r="L34" s="76">
        <f>J34*I34</f>
        <v>161.13888</v>
      </c>
    </row>
    <row r="35" spans="1:12" x14ac:dyDescent="0.25">
      <c r="A35" s="16" t="s">
        <v>106</v>
      </c>
      <c r="B35" s="22" t="str">
        <f>'PLANILHA ORÇAMENTÁRIA'!D32</f>
        <v>Calçada de concreto</v>
      </c>
      <c r="C35" s="16" t="str">
        <f>'PLANILHA ORÇAMENTÁRIA'!E32</f>
        <v>m²</v>
      </c>
      <c r="D35" s="18" t="s">
        <v>49</v>
      </c>
      <c r="E35" s="18">
        <f>H35/F35</f>
        <v>195.43333333333334</v>
      </c>
      <c r="F35" s="18">
        <v>0.6</v>
      </c>
      <c r="G35" s="18" t="s">
        <v>49</v>
      </c>
      <c r="H35" s="18">
        <v>117.26</v>
      </c>
      <c r="I35" s="18" t="s">
        <v>49</v>
      </c>
      <c r="J35" s="18" t="s">
        <v>49</v>
      </c>
      <c r="K35" s="18" t="s">
        <v>49</v>
      </c>
      <c r="L35" s="76">
        <f>H35</f>
        <v>117.26</v>
      </c>
    </row>
    <row r="36" spans="1:12" x14ac:dyDescent="0.25">
      <c r="A36" s="16" t="s">
        <v>108</v>
      </c>
      <c r="B36" s="22" t="str">
        <f>'PLANILHA ORÇAMENTÁRIA'!D34</f>
        <v>Remoção de meio fio em Vias Urbanas</v>
      </c>
      <c r="C36" s="16" t="str">
        <f>'PLANILHA ORÇAMENTÁRIA'!E34</f>
        <v>m</v>
      </c>
      <c r="D36" s="18">
        <v>2</v>
      </c>
      <c r="E36" s="18">
        <v>272.93</v>
      </c>
      <c r="F36" s="18" t="s">
        <v>49</v>
      </c>
      <c r="G36" s="18" t="s">
        <v>49</v>
      </c>
      <c r="H36" s="18" t="s">
        <v>49</v>
      </c>
      <c r="I36" s="18" t="s">
        <v>49</v>
      </c>
      <c r="J36" s="18" t="s">
        <v>49</v>
      </c>
      <c r="K36" s="78">
        <f>53.46+6.84</f>
        <v>60.3</v>
      </c>
      <c r="L36" s="76">
        <f>(E36*D36)-K36</f>
        <v>485.56</v>
      </c>
    </row>
    <row r="37" spans="1:12" ht="31.5" x14ac:dyDescent="0.25">
      <c r="A37" s="16" t="s">
        <v>109</v>
      </c>
      <c r="B37" s="22" t="str">
        <f>'PLANILHA ORÇAMENTÁRIA'!D35</f>
        <v>Meio-fio pré-moldado em concreto, inclusive caiação e transporte do meio-fio</v>
      </c>
      <c r="C37" s="16" t="str">
        <f>'PLANILHA ORÇAMENTÁRIA'!E35</f>
        <v>m</v>
      </c>
      <c r="D37" s="78">
        <v>2</v>
      </c>
      <c r="E37" s="78">
        <v>272.93</v>
      </c>
      <c r="F37" s="78" t="s">
        <v>49</v>
      </c>
      <c r="G37" s="78" t="s">
        <v>49</v>
      </c>
      <c r="H37" s="78" t="s">
        <v>49</v>
      </c>
      <c r="I37" s="78" t="s">
        <v>49</v>
      </c>
      <c r="J37" s="78" t="s">
        <v>49</v>
      </c>
      <c r="K37" s="78">
        <f>53.46+6.84</f>
        <v>60.3</v>
      </c>
      <c r="L37" s="76">
        <f>(E37*D37)-K37</f>
        <v>485.56</v>
      </c>
    </row>
    <row r="38" spans="1:12" x14ac:dyDescent="0.25">
      <c r="A38" s="73" t="s">
        <v>110</v>
      </c>
      <c r="B38" s="139" t="str">
        <f>'PLANILHA ORÇAMENTÁRIA'!D36</f>
        <v>SINALIZAÇÃO HORIZONTAL E VERTICAL - ALAMEDA ANTÔNIO FERREIRA DE JESUS</v>
      </c>
      <c r="C38" s="140"/>
      <c r="D38" s="75"/>
      <c r="E38" s="75"/>
      <c r="F38" s="75"/>
      <c r="G38" s="75"/>
      <c r="H38" s="75"/>
      <c r="I38" s="75"/>
      <c r="J38" s="75"/>
      <c r="K38" s="75"/>
      <c r="L38" s="75"/>
    </row>
    <row r="39" spans="1:12" x14ac:dyDescent="0.25">
      <c r="A39" s="16" t="s">
        <v>111</v>
      </c>
      <c r="B39" s="22" t="str">
        <f>'PLANILHA ORÇAMENTÁRIA'!D37</f>
        <v>Sinalização vertical, inclusive transporte de placa sinalização e madeira</v>
      </c>
      <c r="C39" s="16" t="s">
        <v>16</v>
      </c>
      <c r="D39" s="18" t="s">
        <v>49</v>
      </c>
      <c r="E39" s="18" t="s">
        <v>49</v>
      </c>
      <c r="F39" s="18" t="s">
        <v>49</v>
      </c>
      <c r="G39" s="18" t="s">
        <v>49</v>
      </c>
      <c r="H39" s="18" t="s">
        <v>49</v>
      </c>
      <c r="I39" s="18" t="s">
        <v>49</v>
      </c>
      <c r="J39" s="18" t="s">
        <v>49</v>
      </c>
      <c r="K39" s="18" t="s">
        <v>49</v>
      </c>
      <c r="L39" s="76">
        <f>SUM(L40:L40)</f>
        <v>0.22</v>
      </c>
    </row>
    <row r="40" spans="1:12" s="50" customFormat="1" ht="12.75" x14ac:dyDescent="0.2">
      <c r="A40" s="51"/>
      <c r="B40" s="52" t="s">
        <v>50</v>
      </c>
      <c r="C40" s="53"/>
      <c r="D40" s="54">
        <v>1</v>
      </c>
      <c r="E40" s="54" t="s">
        <v>49</v>
      </c>
      <c r="F40" s="54" t="s">
        <v>49</v>
      </c>
      <c r="G40" s="54" t="s">
        <v>49</v>
      </c>
      <c r="H40" s="54">
        <v>0.22</v>
      </c>
      <c r="I40" s="54" t="s">
        <v>49</v>
      </c>
      <c r="J40" s="54" t="s">
        <v>49</v>
      </c>
      <c r="K40" s="54" t="s">
        <v>49</v>
      </c>
      <c r="L40" s="55">
        <f>ROUND(H40*D40,2)</f>
        <v>0.22</v>
      </c>
    </row>
    <row r="41" spans="1:12" x14ac:dyDescent="0.25">
      <c r="A41" s="73" t="s">
        <v>114</v>
      </c>
      <c r="B41" s="74" t="str">
        <f>'PLANILHA ORÇAMENTÁRIA'!D38</f>
        <v>PAVIMENTAÇÃO - RUA DOM LUIZ SCORTEGAGNA</v>
      </c>
      <c r="C41" s="73"/>
      <c r="D41" s="75"/>
      <c r="E41" s="75"/>
      <c r="F41" s="75"/>
      <c r="G41" s="75"/>
      <c r="H41" s="75"/>
      <c r="I41" s="75"/>
      <c r="J41" s="75"/>
      <c r="K41" s="75"/>
      <c r="L41" s="75"/>
    </row>
    <row r="42" spans="1:12" x14ac:dyDescent="0.25">
      <c r="A42" s="16" t="s">
        <v>115</v>
      </c>
      <c r="B42" s="22" t="str">
        <f>'PLANILHA ORÇAMENTÁRIA'!D39</f>
        <v>Remoção de pavimentação poliédrica</v>
      </c>
      <c r="C42" s="16" t="str">
        <f>'PLANILHA ORÇAMENTÁRIA'!E39</f>
        <v>m²</v>
      </c>
      <c r="D42" s="18" t="s">
        <v>49</v>
      </c>
      <c r="E42" s="18">
        <f>H42/F42</f>
        <v>408.69494290375206</v>
      </c>
      <c r="F42" s="18">
        <v>6.13</v>
      </c>
      <c r="G42" s="18" t="s">
        <v>49</v>
      </c>
      <c r="H42" s="18">
        <v>2505.3000000000002</v>
      </c>
      <c r="I42" s="18" t="s">
        <v>49</v>
      </c>
      <c r="J42" s="18" t="s">
        <v>49</v>
      </c>
      <c r="K42" s="18" t="s">
        <v>49</v>
      </c>
      <c r="L42" s="76">
        <f>H42</f>
        <v>2505.3000000000002</v>
      </c>
    </row>
    <row r="43" spans="1:12" x14ac:dyDescent="0.25">
      <c r="A43" s="16" t="s">
        <v>116</v>
      </c>
      <c r="B43" s="22" t="str">
        <f>'PLANILHA ORÇAMENTÁRIA'!D40</f>
        <v>Regularização e compactação do sub-leito (100% P.I.) H = 0,20 m</v>
      </c>
      <c r="C43" s="16" t="str">
        <f>'PLANILHA ORÇAMENTÁRIA'!E40</f>
        <v>m²</v>
      </c>
      <c r="D43" s="18" t="s">
        <v>49</v>
      </c>
      <c r="E43" s="18">
        <f t="shared" ref="E43:E48" si="4">H43/F43</f>
        <v>408.69494290375206</v>
      </c>
      <c r="F43" s="18">
        <v>6.13</v>
      </c>
      <c r="G43" s="18" t="s">
        <v>49</v>
      </c>
      <c r="H43" s="18">
        <v>2505.3000000000002</v>
      </c>
      <c r="I43" s="18" t="s">
        <v>49</v>
      </c>
      <c r="J43" s="18" t="s">
        <v>49</v>
      </c>
      <c r="K43" s="18" t="s">
        <v>49</v>
      </c>
      <c r="L43" s="76">
        <f>H43</f>
        <v>2505.3000000000002</v>
      </c>
    </row>
    <row r="44" spans="1:12" ht="39.75" customHeight="1" x14ac:dyDescent="0.25">
      <c r="A44" s="16" t="s">
        <v>117</v>
      </c>
      <c r="B44" s="22" t="str">
        <f>'PLANILHA ORÇAMENTÁRIA'!D41</f>
        <v>Pavimentação com blocos de concreto (35 MPa), esp. = 10 cm, sobre colchão areia esp.= 5cm, inclusive fornecimento e transporte dos blocos e areia</v>
      </c>
      <c r="C44" s="16" t="str">
        <f>'PLANILHA ORÇAMENTÁRIA'!E41</f>
        <v>m²</v>
      </c>
      <c r="D44" s="18" t="s">
        <v>49</v>
      </c>
      <c r="E44" s="18">
        <f t="shared" si="4"/>
        <v>408.69494290375206</v>
      </c>
      <c r="F44" s="18">
        <v>6.13</v>
      </c>
      <c r="G44" s="18" t="s">
        <v>49</v>
      </c>
      <c r="H44" s="18">
        <v>2505.3000000000002</v>
      </c>
      <c r="I44" s="18" t="s">
        <v>49</v>
      </c>
      <c r="J44" s="18" t="s">
        <v>49</v>
      </c>
      <c r="K44" s="18" t="s">
        <v>49</v>
      </c>
      <c r="L44" s="76">
        <f>H44</f>
        <v>2505.3000000000002</v>
      </c>
    </row>
    <row r="45" spans="1:12" x14ac:dyDescent="0.25">
      <c r="A45" s="16" t="s">
        <v>118</v>
      </c>
      <c r="B45" s="22" t="str">
        <f>'PLANILHA ORÇAMENTÁRIA'!D42</f>
        <v>Estabilização granulométrica de solo s/ mistura 100% P.I.</v>
      </c>
      <c r="C45" s="16" t="str">
        <f>'PLANILHA ORÇAMENTÁRIA'!E42</f>
        <v>m³</v>
      </c>
      <c r="D45" s="18" t="s">
        <v>49</v>
      </c>
      <c r="E45" s="18">
        <f t="shared" si="4"/>
        <v>408.69494290375206</v>
      </c>
      <c r="F45" s="18">
        <v>6.13</v>
      </c>
      <c r="G45" s="18">
        <v>0.1</v>
      </c>
      <c r="H45" s="18">
        <v>2505.3000000000002</v>
      </c>
      <c r="I45" s="18">
        <f>H45*G45</f>
        <v>250.53000000000003</v>
      </c>
      <c r="J45" s="18" t="s">
        <v>49</v>
      </c>
      <c r="K45" s="18" t="s">
        <v>49</v>
      </c>
      <c r="L45" s="76">
        <f>I45</f>
        <v>250.53000000000003</v>
      </c>
    </row>
    <row r="46" spans="1:12" ht="31.5" x14ac:dyDescent="0.25">
      <c r="A46" s="16" t="s">
        <v>119</v>
      </c>
      <c r="B46" s="22" t="str">
        <f>'PLANILHA ORÇAMENTÁRIA'!D43</f>
        <v xml:space="preserve">Sub-base solo brita, 50% em peso, inclusive fornecimento e transporte da brita (XP = 2,75; XR =26,55) (0,647XP + 0,674XR + 2,698) </v>
      </c>
      <c r="C46" s="16" t="str">
        <f>'PLANILHA ORÇAMENTÁRIA'!E43</f>
        <v>m³</v>
      </c>
      <c r="D46" s="18" t="s">
        <v>49</v>
      </c>
      <c r="E46" s="18">
        <f t="shared" si="4"/>
        <v>408.69494290375206</v>
      </c>
      <c r="F46" s="18">
        <v>6.13</v>
      </c>
      <c r="G46" s="18">
        <v>0.15</v>
      </c>
      <c r="H46" s="18">
        <v>2505.3000000000002</v>
      </c>
      <c r="I46" s="18">
        <f>H46*G46</f>
        <v>375.79500000000002</v>
      </c>
      <c r="J46" s="18" t="s">
        <v>49</v>
      </c>
      <c r="K46" s="18" t="s">
        <v>49</v>
      </c>
      <c r="L46" s="76">
        <f>I46</f>
        <v>375.79500000000002</v>
      </c>
    </row>
    <row r="47" spans="1:12" ht="31.5" x14ac:dyDescent="0.25">
      <c r="A47" s="16" t="s">
        <v>120</v>
      </c>
      <c r="B47" s="22" t="str">
        <f>'PLANILHA ORÇAMENTÁRIA'!D44</f>
        <v>Imprimação exclusive fornecimento e transporte comercial do material betuminoso</v>
      </c>
      <c r="C47" s="16" t="str">
        <f>'PLANILHA ORÇAMENTÁRIA'!E44</f>
        <v>m²</v>
      </c>
      <c r="D47" s="18" t="s">
        <v>49</v>
      </c>
      <c r="E47" s="18">
        <f t="shared" si="4"/>
        <v>408.69494290375206</v>
      </c>
      <c r="F47" s="18">
        <v>6.13</v>
      </c>
      <c r="G47" s="18" t="s">
        <v>49</v>
      </c>
      <c r="H47" s="18">
        <v>2505.3000000000002</v>
      </c>
      <c r="I47" s="18" t="s">
        <v>49</v>
      </c>
      <c r="J47" s="18" t="s">
        <v>49</v>
      </c>
      <c r="K47" s="18" t="s">
        <v>49</v>
      </c>
      <c r="L47" s="76">
        <f>H47</f>
        <v>2505.3000000000002</v>
      </c>
    </row>
    <row r="48" spans="1:12" ht="31.5" x14ac:dyDescent="0.25">
      <c r="A48" s="16" t="s">
        <v>121</v>
      </c>
      <c r="B48" s="22" t="str">
        <f>'PLANILHA ORÇAMENTÁRIA'!D45</f>
        <v>LOCAL COM DMT ATÉ 3,0 KM (Caminhão basculante) (Remoção de Pavimentação poliédrica) 0,835XP + 0,923XR + 1,466 (XP = 2,5; XR = 0)</v>
      </c>
      <c r="C48" s="16" t="str">
        <f>'PLANILHA ORÇAMENTÁRIA'!E45</f>
        <v>t</v>
      </c>
      <c r="D48" s="18" t="s">
        <v>49</v>
      </c>
      <c r="E48" s="18">
        <f t="shared" si="4"/>
        <v>408.69494290375206</v>
      </c>
      <c r="F48" s="18">
        <v>6.13</v>
      </c>
      <c r="G48" s="18">
        <v>0.1</v>
      </c>
      <c r="H48" s="18">
        <v>2505.3000000000002</v>
      </c>
      <c r="I48" s="18">
        <f>H48*G48</f>
        <v>250.53000000000003</v>
      </c>
      <c r="J48" s="18">
        <v>2.4</v>
      </c>
      <c r="K48" s="18" t="s">
        <v>49</v>
      </c>
      <c r="L48" s="76">
        <f>J48*I48</f>
        <v>601.27200000000005</v>
      </c>
    </row>
    <row r="49" spans="1:12" x14ac:dyDescent="0.25">
      <c r="A49" s="16" t="s">
        <v>123</v>
      </c>
      <c r="B49" s="22" t="str">
        <f>'PLANILHA ORÇAMENTÁRIA'!D47</f>
        <v>Remoção de meio fio em Vias Urbanas</v>
      </c>
      <c r="C49" s="16" t="str">
        <f>'PLANILHA ORÇAMENTÁRIA'!E47</f>
        <v>m</v>
      </c>
      <c r="D49" s="18">
        <v>2</v>
      </c>
      <c r="E49" s="18">
        <f>408.69</f>
        <v>408.69</v>
      </c>
      <c r="F49" s="18" t="s">
        <v>49</v>
      </c>
      <c r="G49" s="18" t="s">
        <v>49</v>
      </c>
      <c r="H49" s="18" t="s">
        <v>49</v>
      </c>
      <c r="I49" s="18" t="s">
        <v>49</v>
      </c>
      <c r="J49" s="18" t="s">
        <v>49</v>
      </c>
      <c r="K49" s="18">
        <f>4.25+6.57+7.14+9.08</f>
        <v>27.04</v>
      </c>
      <c r="L49" s="76">
        <f>(E49*D49)-K49</f>
        <v>790.34</v>
      </c>
    </row>
    <row r="50" spans="1:12" ht="27" customHeight="1" x14ac:dyDescent="0.25">
      <c r="A50" s="16" t="s">
        <v>124</v>
      </c>
      <c r="B50" s="22" t="str">
        <f>'PLANILHA ORÇAMENTÁRIA'!D48</f>
        <v>Meio-fio pré-moldado em concreto, inclusive caiação e transporte do meio-fio</v>
      </c>
      <c r="C50" s="16" t="str">
        <f>'PLANILHA ORÇAMENTÁRIA'!E48</f>
        <v>m</v>
      </c>
      <c r="D50" s="18">
        <v>2</v>
      </c>
      <c r="E50" s="18">
        <f>408.69+6.3</f>
        <v>414.99</v>
      </c>
      <c r="F50" s="18" t="s">
        <v>49</v>
      </c>
      <c r="G50" s="18" t="s">
        <v>49</v>
      </c>
      <c r="H50" s="18" t="s">
        <v>49</v>
      </c>
      <c r="I50" s="18" t="s">
        <v>49</v>
      </c>
      <c r="J50" s="18" t="s">
        <v>49</v>
      </c>
      <c r="K50" s="18">
        <f>4.25+6.57+7.14+9.08</f>
        <v>27.04</v>
      </c>
      <c r="L50" s="76">
        <f>(E50*D50)-K50</f>
        <v>802.94</v>
      </c>
    </row>
    <row r="51" spans="1:12" x14ac:dyDescent="0.25">
      <c r="A51" s="16" t="s">
        <v>125</v>
      </c>
      <c r="B51" s="22" t="str">
        <f>'PLANILHA ORÇAMENTÁRIA'!D49</f>
        <v>Calçada de concreto</v>
      </c>
      <c r="C51" s="16" t="str">
        <f>'PLANILHA ORÇAMENTÁRIA'!E49</f>
        <v>m²</v>
      </c>
      <c r="D51" s="18">
        <v>2</v>
      </c>
      <c r="E51" s="18">
        <f>408.69-K50</f>
        <v>381.65</v>
      </c>
      <c r="F51" s="18">
        <v>1.2</v>
      </c>
      <c r="G51" s="18" t="s">
        <v>49</v>
      </c>
      <c r="H51" s="18">
        <f>F51*E51</f>
        <v>457.97999999999996</v>
      </c>
      <c r="I51" s="18" t="s">
        <v>49</v>
      </c>
      <c r="J51" s="18" t="s">
        <v>49</v>
      </c>
      <c r="K51" s="18" t="s">
        <v>49</v>
      </c>
      <c r="L51" s="76">
        <f>H51*D51</f>
        <v>915.95999999999992</v>
      </c>
    </row>
    <row r="52" spans="1:12" ht="31.5" x14ac:dyDescent="0.25">
      <c r="A52" s="16" t="s">
        <v>126</v>
      </c>
      <c r="B52" s="22" t="str">
        <f>'PLANILHA ORÇAMENTÁRIA'!D50</f>
        <v>Ladrilho hidráulico (argamassa cimento e areia 1:4), fornecimento e assentamento</v>
      </c>
      <c r="C52" s="16" t="str">
        <f>'PLANILHA ORÇAMENTÁRIA'!E50</f>
        <v>m²</v>
      </c>
      <c r="D52" s="18">
        <v>2</v>
      </c>
      <c r="E52" s="18">
        <f>408.69-K50</f>
        <v>381.65</v>
      </c>
      <c r="F52" s="18">
        <v>0.2</v>
      </c>
      <c r="G52" s="18" t="s">
        <v>49</v>
      </c>
      <c r="H52" s="18">
        <f>E52*F52</f>
        <v>76.33</v>
      </c>
      <c r="I52" s="18" t="s">
        <v>49</v>
      </c>
      <c r="J52" s="18" t="s">
        <v>49</v>
      </c>
      <c r="K52" s="18" t="s">
        <v>49</v>
      </c>
      <c r="L52" s="76">
        <f>(H52*D52)</f>
        <v>152.66</v>
      </c>
    </row>
    <row r="53" spans="1:12" x14ac:dyDescent="0.25">
      <c r="A53" s="73" t="s">
        <v>128</v>
      </c>
      <c r="B53" s="74" t="str">
        <f>'PLANILHA ORÇAMENTÁRIA'!D51</f>
        <v>SINALIZAÇÃO HORIZONTAL E VERTICAL - RUA DOM LUIZ SCORTEGAGNA</v>
      </c>
      <c r="C53" s="73"/>
      <c r="D53" s="75"/>
      <c r="E53" s="75"/>
      <c r="F53" s="75"/>
      <c r="G53" s="75"/>
      <c r="H53" s="75"/>
      <c r="I53" s="75"/>
      <c r="J53" s="75"/>
      <c r="K53" s="75"/>
      <c r="L53" s="75"/>
    </row>
    <row r="54" spans="1:12" x14ac:dyDescent="0.25">
      <c r="A54" s="16" t="s">
        <v>129</v>
      </c>
      <c r="B54" s="22" t="str">
        <f>'PLANILHA ORÇAMENTÁRIA'!D52</f>
        <v>Sinalização vertical, inclusive transporte de placa sinalização e madeira</v>
      </c>
      <c r="C54" s="16" t="s">
        <v>16</v>
      </c>
      <c r="D54" s="18" t="s">
        <v>49</v>
      </c>
      <c r="E54" s="18" t="s">
        <v>49</v>
      </c>
      <c r="F54" s="18" t="s">
        <v>49</v>
      </c>
      <c r="G54" s="18" t="s">
        <v>49</v>
      </c>
      <c r="H54" s="18" t="s">
        <v>49</v>
      </c>
      <c r="I54" s="18" t="s">
        <v>49</v>
      </c>
      <c r="J54" s="18" t="s">
        <v>49</v>
      </c>
      <c r="K54" s="18" t="s">
        <v>49</v>
      </c>
      <c r="L54" s="76">
        <f>SUM(L55:L56)</f>
        <v>0.62</v>
      </c>
    </row>
    <row r="55" spans="1:12" s="50" customFormat="1" ht="12.75" x14ac:dyDescent="0.2">
      <c r="A55" s="51"/>
      <c r="B55" s="52" t="s">
        <v>50</v>
      </c>
      <c r="C55" s="53"/>
      <c r="D55" s="54">
        <v>1</v>
      </c>
      <c r="E55" s="54" t="s">
        <v>49</v>
      </c>
      <c r="F55" s="54" t="s">
        <v>49</v>
      </c>
      <c r="G55" s="54" t="s">
        <v>49</v>
      </c>
      <c r="H55" s="54">
        <v>0.22</v>
      </c>
      <c r="I55" s="54" t="s">
        <v>49</v>
      </c>
      <c r="J55" s="54" t="s">
        <v>49</v>
      </c>
      <c r="K55" s="54" t="s">
        <v>49</v>
      </c>
      <c r="L55" s="55">
        <f>ROUND(H55*D55,2)</f>
        <v>0.22</v>
      </c>
    </row>
    <row r="56" spans="1:12" s="50" customFormat="1" ht="12.75" x14ac:dyDescent="0.2">
      <c r="A56" s="61"/>
      <c r="B56" s="62" t="s">
        <v>52</v>
      </c>
      <c r="C56" s="69"/>
      <c r="D56" s="63">
        <v>2</v>
      </c>
      <c r="E56" s="63" t="s">
        <v>49</v>
      </c>
      <c r="F56" s="63" t="s">
        <v>49</v>
      </c>
      <c r="G56" s="63" t="s">
        <v>49</v>
      </c>
      <c r="H56" s="63">
        <v>0.2</v>
      </c>
      <c r="I56" s="63" t="s">
        <v>49</v>
      </c>
      <c r="J56" s="63" t="s">
        <v>49</v>
      </c>
      <c r="K56" s="63" t="s">
        <v>49</v>
      </c>
      <c r="L56" s="64">
        <f t="shared" ref="L56" si="5">ROUND(H56*D56,2)</f>
        <v>0.4</v>
      </c>
    </row>
  </sheetData>
  <mergeCells count="7">
    <mergeCell ref="A1:E1"/>
    <mergeCell ref="A2:E2"/>
    <mergeCell ref="A3:E3"/>
    <mergeCell ref="B38:C38"/>
    <mergeCell ref="F1:L4"/>
    <mergeCell ref="A4:B4"/>
    <mergeCell ref="C4:E4"/>
  </mergeCells>
  <pageMargins left="0.511811024" right="0.511811024" top="1.3166666666666667" bottom="0.78740157499999996" header="0.31496062000000002" footer="0.31496062000000002"/>
  <pageSetup paperSize="9" scale="71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17"/>
  <sheetViews>
    <sheetView view="pageBreakPreview" zoomScale="90" zoomScaleNormal="100" zoomScaleSheetLayoutView="90" workbookViewId="0">
      <selection activeCell="G23" sqref="G23"/>
    </sheetView>
  </sheetViews>
  <sheetFormatPr defaultRowHeight="15.75" x14ac:dyDescent="0.25"/>
  <cols>
    <col min="1" max="1" width="9.140625" style="20"/>
    <col min="2" max="2" width="47.7109375" style="20" customWidth="1"/>
    <col min="3" max="3" width="14.140625" style="20" customWidth="1"/>
    <col min="4" max="4" width="12.28515625" style="20" customWidth="1"/>
    <col min="5" max="5" width="10.28515625" style="20" customWidth="1"/>
    <col min="6" max="6" width="11" style="20" customWidth="1"/>
    <col min="7" max="7" width="10.5703125" style="20" customWidth="1"/>
    <col min="8" max="8" width="12.85546875" style="20" customWidth="1"/>
    <col min="9" max="9" width="12.28515625" style="20" customWidth="1"/>
    <col min="10" max="12" width="13.28515625" style="20" customWidth="1"/>
    <col min="13" max="13" width="11.28515625" style="20" bestFit="1" customWidth="1"/>
    <col min="14" max="14" width="11.7109375" style="20" bestFit="1" customWidth="1"/>
    <col min="15" max="16384" width="9.140625" style="20"/>
  </cols>
  <sheetData>
    <row r="1" spans="1:14" ht="30.75" customHeight="1" x14ac:dyDescent="0.25">
      <c r="A1" s="148" t="s">
        <v>131</v>
      </c>
      <c r="B1" s="148"/>
      <c r="C1" s="148"/>
      <c r="D1" s="148"/>
      <c r="E1" s="155" t="s">
        <v>54</v>
      </c>
      <c r="F1" s="155"/>
      <c r="G1" s="155"/>
      <c r="H1" s="155"/>
      <c r="I1" s="155"/>
      <c r="J1" s="155"/>
      <c r="K1" s="155"/>
      <c r="L1" s="155"/>
    </row>
    <row r="2" spans="1:14" ht="17.25" customHeight="1" x14ac:dyDescent="0.25">
      <c r="A2" s="149" t="s">
        <v>132</v>
      </c>
      <c r="B2" s="149"/>
      <c r="C2" s="149"/>
      <c r="D2" s="149"/>
      <c r="E2" s="155"/>
      <c r="F2" s="155"/>
      <c r="G2" s="155"/>
      <c r="H2" s="155"/>
      <c r="I2" s="155"/>
      <c r="J2" s="155"/>
      <c r="K2" s="155"/>
      <c r="L2" s="155"/>
    </row>
    <row r="3" spans="1:14" s="36" customFormat="1" ht="17.25" customHeight="1" x14ac:dyDescent="0.25">
      <c r="A3" s="151" t="s">
        <v>133</v>
      </c>
      <c r="B3" s="151"/>
      <c r="C3" s="149" t="s">
        <v>142</v>
      </c>
      <c r="D3" s="149"/>
      <c r="E3" s="149"/>
      <c r="F3" s="149"/>
      <c r="G3" s="149"/>
      <c r="H3" s="149"/>
      <c r="I3" s="149"/>
      <c r="J3" s="156" t="s">
        <v>145</v>
      </c>
      <c r="K3" s="156"/>
      <c r="L3" s="156"/>
    </row>
    <row r="4" spans="1:14" x14ac:dyDescent="0.25">
      <c r="A4" s="150" t="s">
        <v>55</v>
      </c>
      <c r="B4" s="150" t="s">
        <v>56</v>
      </c>
      <c r="C4" s="150" t="s">
        <v>57</v>
      </c>
      <c r="D4" s="150" t="s">
        <v>58</v>
      </c>
      <c r="E4" s="153" t="s">
        <v>59</v>
      </c>
      <c r="F4" s="154"/>
      <c r="G4" s="154"/>
      <c r="H4" s="154"/>
      <c r="I4" s="154"/>
      <c r="J4" s="154"/>
      <c r="K4" s="154"/>
      <c r="L4" s="154"/>
    </row>
    <row r="5" spans="1:14" x14ac:dyDescent="0.25">
      <c r="A5" s="150"/>
      <c r="B5" s="150"/>
      <c r="C5" s="150"/>
      <c r="D5" s="150"/>
      <c r="E5" s="37">
        <v>1</v>
      </c>
      <c r="F5" s="37">
        <v>2</v>
      </c>
      <c r="G5" s="37">
        <v>3</v>
      </c>
      <c r="H5" s="37">
        <v>4</v>
      </c>
      <c r="I5" s="37">
        <v>5</v>
      </c>
      <c r="J5" s="37">
        <v>6</v>
      </c>
      <c r="K5" s="37">
        <v>7</v>
      </c>
      <c r="L5" s="37">
        <v>8</v>
      </c>
    </row>
    <row r="6" spans="1:14" x14ac:dyDescent="0.25">
      <c r="A6" s="14" t="s">
        <v>13</v>
      </c>
      <c r="B6" s="38" t="str">
        <f>'PLANILHA ORÇAMENTÁRIA'!D7</f>
        <v>SERVIÇOS PRELIMINARES</v>
      </c>
      <c r="C6" s="39">
        <f>'PLANILHA ORÇAMENTÁRIA'!H7</f>
        <v>5060.68</v>
      </c>
      <c r="D6" s="40">
        <f>C6/$C$13</f>
        <v>5.1200351336950899E-3</v>
      </c>
      <c r="E6" s="152" t="s">
        <v>137</v>
      </c>
      <c r="F6" s="152"/>
      <c r="G6" s="152"/>
      <c r="H6" s="41">
        <f>C6</f>
        <v>5060.68</v>
      </c>
      <c r="I6" s="42" t="s">
        <v>49</v>
      </c>
      <c r="J6" s="42" t="s">
        <v>49</v>
      </c>
      <c r="K6" s="42" t="s">
        <v>49</v>
      </c>
      <c r="L6" s="42" t="s">
        <v>49</v>
      </c>
      <c r="M6" s="43">
        <f t="shared" ref="M6:M12" si="0">SUM(F6:L6)</f>
        <v>5060.68</v>
      </c>
      <c r="N6" s="43">
        <f t="shared" ref="N6:N12" si="1">M6-C6</f>
        <v>0</v>
      </c>
    </row>
    <row r="7" spans="1:14" x14ac:dyDescent="0.25">
      <c r="A7" s="14" t="s">
        <v>18</v>
      </c>
      <c r="B7" s="38" t="str">
        <f>'PLANILHA ORÇAMENTÁRIA'!D10</f>
        <v>PAVIMENTAÇÃO - RUA JOSÉ COLNAGO</v>
      </c>
      <c r="C7" s="39">
        <f>'PLANILHA ORÇAMENTÁRIA'!H10</f>
        <v>369336.16</v>
      </c>
      <c r="D7" s="40">
        <f t="shared" ref="D7:D12" si="2">C7/$C$13</f>
        <v>0.3736679883620444</v>
      </c>
      <c r="E7" s="152" t="s">
        <v>137</v>
      </c>
      <c r="F7" s="152"/>
      <c r="G7" s="152"/>
      <c r="H7" s="41">
        <f>$C$7/2</f>
        <v>184668.08</v>
      </c>
      <c r="I7" s="41">
        <f>$C$7/2</f>
        <v>184668.08</v>
      </c>
      <c r="J7" s="42" t="s">
        <v>49</v>
      </c>
      <c r="K7" s="44" t="s">
        <v>49</v>
      </c>
      <c r="L7" s="44" t="s">
        <v>49</v>
      </c>
      <c r="M7" s="43">
        <f t="shared" si="0"/>
        <v>369336.16</v>
      </c>
      <c r="N7" s="43">
        <f t="shared" si="1"/>
        <v>0</v>
      </c>
    </row>
    <row r="8" spans="1:14" ht="31.5" x14ac:dyDescent="0.25">
      <c r="A8" s="14" t="s">
        <v>32</v>
      </c>
      <c r="B8" s="38" t="str">
        <f>'PLANILHA ORÇAMENTÁRIA'!D20</f>
        <v>SINALIZAÇÃO HORIZONTAL E VERTICAL - RUA JOSÉ COLNAGO</v>
      </c>
      <c r="C8" s="39">
        <f>'PLANILHA ORÇAMENTÁRIA'!H20</f>
        <v>3895.1499999999996</v>
      </c>
      <c r="D8" s="40">
        <f t="shared" si="2"/>
        <v>3.9408349966827431E-3</v>
      </c>
      <c r="E8" s="152" t="s">
        <v>137</v>
      </c>
      <c r="F8" s="152"/>
      <c r="G8" s="152"/>
      <c r="H8" s="42" t="s">
        <v>49</v>
      </c>
      <c r="I8" s="41">
        <f>C8</f>
        <v>3895.1499999999996</v>
      </c>
      <c r="J8" s="42" t="s">
        <v>49</v>
      </c>
      <c r="K8" s="44" t="s">
        <v>49</v>
      </c>
      <c r="L8" s="44" t="s">
        <v>49</v>
      </c>
      <c r="M8" s="43">
        <f t="shared" si="0"/>
        <v>3895.1499999999996</v>
      </c>
      <c r="N8" s="43">
        <f t="shared" si="1"/>
        <v>0</v>
      </c>
    </row>
    <row r="9" spans="1:14" ht="31.5" x14ac:dyDescent="0.25">
      <c r="A9" s="14" t="s">
        <v>98</v>
      </c>
      <c r="B9" s="38" t="str">
        <f>'PLANILHA ORÇAMENTÁRIA'!D24</f>
        <v>PAVIMENTAÇÃO - ALAMEDA ANTÔNIO FERREIRA DE JESUS</v>
      </c>
      <c r="C9" s="39">
        <f>'PLANILHA ORÇAMENTÁRIA'!H24</f>
        <v>181435.91</v>
      </c>
      <c r="D9" s="40">
        <f t="shared" si="2"/>
        <v>0.18356391506950454</v>
      </c>
      <c r="E9" s="152" t="s">
        <v>137</v>
      </c>
      <c r="F9" s="152"/>
      <c r="G9" s="152"/>
      <c r="H9" s="42" t="s">
        <v>49</v>
      </c>
      <c r="I9" s="42" t="s">
        <v>49</v>
      </c>
      <c r="J9" s="41">
        <f>$C$9/2</f>
        <v>90717.955000000002</v>
      </c>
      <c r="K9" s="41">
        <f>$C$9/2</f>
        <v>90717.955000000002</v>
      </c>
      <c r="L9" s="44" t="s">
        <v>49</v>
      </c>
      <c r="M9" s="43">
        <f t="shared" si="0"/>
        <v>181435.91</v>
      </c>
      <c r="N9" s="43">
        <f t="shared" si="1"/>
        <v>0</v>
      </c>
    </row>
    <row r="10" spans="1:14" ht="31.5" x14ac:dyDescent="0.25">
      <c r="A10" s="14" t="s">
        <v>110</v>
      </c>
      <c r="B10" s="38" t="str">
        <f>'PLANILHA ORÇAMENTÁRIA'!D36</f>
        <v>SINALIZAÇÃO HORIZONTAL E VERTICAL - ALAMEDA ANTÔNIO FERREIRA DE JESUS</v>
      </c>
      <c r="C10" s="39">
        <f>'PLANILHA ORÇAMENTÁRIA'!H36</f>
        <v>99.1</v>
      </c>
      <c r="D10" s="40">
        <f t="shared" si="2"/>
        <v>1.0026231292023668E-4</v>
      </c>
      <c r="E10" s="152" t="s">
        <v>137</v>
      </c>
      <c r="F10" s="152"/>
      <c r="G10" s="152"/>
      <c r="H10" s="42" t="s">
        <v>49</v>
      </c>
      <c r="I10" s="42" t="s">
        <v>49</v>
      </c>
      <c r="J10" s="42" t="s">
        <v>49</v>
      </c>
      <c r="K10" s="41">
        <f>C10</f>
        <v>99.1</v>
      </c>
      <c r="L10" s="44" t="s">
        <v>49</v>
      </c>
      <c r="M10" s="43">
        <f t="shared" si="0"/>
        <v>99.1</v>
      </c>
      <c r="N10" s="43">
        <f t="shared" si="1"/>
        <v>0</v>
      </c>
    </row>
    <row r="11" spans="1:14" ht="31.5" x14ac:dyDescent="0.25">
      <c r="A11" s="14" t="s">
        <v>114</v>
      </c>
      <c r="B11" s="38" t="str">
        <f>'PLANILHA ORÇAMENTÁRIA'!D38</f>
        <v>PAVIMENTAÇÃO - RUA DOM LUIZ SCORTEGAGNA</v>
      </c>
      <c r="C11" s="39">
        <f>'PLANILHA ORÇAMENTÁRIA'!H38</f>
        <v>428300.99000000005</v>
      </c>
      <c r="D11" s="40">
        <f t="shared" si="2"/>
        <v>0.43332439842005216</v>
      </c>
      <c r="E11" s="152" t="s">
        <v>137</v>
      </c>
      <c r="F11" s="152"/>
      <c r="G11" s="152"/>
      <c r="H11" s="42" t="s">
        <v>49</v>
      </c>
      <c r="I11" s="42" t="s">
        <v>49</v>
      </c>
      <c r="J11" s="41">
        <f>$C$11/3</f>
        <v>142766.99666666667</v>
      </c>
      <c r="K11" s="41">
        <f t="shared" ref="K11:L11" si="3">$C$11/3</f>
        <v>142766.99666666667</v>
      </c>
      <c r="L11" s="41">
        <f t="shared" si="3"/>
        <v>142766.99666666667</v>
      </c>
      <c r="M11" s="43">
        <f t="shared" si="0"/>
        <v>428300.99</v>
      </c>
      <c r="N11" s="43">
        <f t="shared" si="1"/>
        <v>0</v>
      </c>
    </row>
    <row r="12" spans="1:14" ht="31.5" x14ac:dyDescent="0.25">
      <c r="A12" s="14" t="s">
        <v>128</v>
      </c>
      <c r="B12" s="38" t="str">
        <f>'PLANILHA ORÇAMENTÁRIA'!D51</f>
        <v>SINALIZAÇÃO HORIZONTAL E VERTICAL - RUA DOM LUIZ SCORTEGAGNA</v>
      </c>
      <c r="C12" s="39">
        <f>'PLANILHA ORÇAMENTÁRIA'!H51</f>
        <v>279.29000000000002</v>
      </c>
      <c r="D12" s="40">
        <f t="shared" si="2"/>
        <v>2.8256570510083658E-4</v>
      </c>
      <c r="E12" s="152" t="s">
        <v>137</v>
      </c>
      <c r="F12" s="152"/>
      <c r="G12" s="152"/>
      <c r="H12" s="42" t="s">
        <v>49</v>
      </c>
      <c r="I12" s="42" t="s">
        <v>49</v>
      </c>
      <c r="J12" s="44" t="s">
        <v>49</v>
      </c>
      <c r="K12" s="44" t="s">
        <v>49</v>
      </c>
      <c r="L12" s="41">
        <f>C12</f>
        <v>279.29000000000002</v>
      </c>
      <c r="M12" s="43">
        <f t="shared" si="0"/>
        <v>279.29000000000002</v>
      </c>
      <c r="N12" s="43">
        <f t="shared" si="1"/>
        <v>0</v>
      </c>
    </row>
    <row r="13" spans="1:14" x14ac:dyDescent="0.25">
      <c r="A13" s="122" t="s">
        <v>60</v>
      </c>
      <c r="B13" s="122"/>
      <c r="C13" s="45">
        <f>SUM(C6:C12)</f>
        <v>988407.28</v>
      </c>
      <c r="D13" s="40">
        <f>SUM(D6:D12)</f>
        <v>1</v>
      </c>
      <c r="E13" s="152"/>
      <c r="F13" s="152"/>
      <c r="G13" s="152"/>
      <c r="H13" s="152"/>
      <c r="I13" s="152"/>
      <c r="J13" s="152"/>
      <c r="K13" s="152"/>
      <c r="L13" s="152"/>
    </row>
    <row r="14" spans="1:14" ht="17.25" x14ac:dyDescent="0.25">
      <c r="A14" s="147" t="s">
        <v>61</v>
      </c>
      <c r="B14" s="147"/>
      <c r="C14" s="147"/>
      <c r="D14" s="147"/>
      <c r="E14" s="152"/>
      <c r="F14" s="152"/>
      <c r="G14" s="152"/>
      <c r="H14" s="46">
        <f>SUM(H6:H12)</f>
        <v>189728.75999999998</v>
      </c>
      <c r="I14" s="46">
        <f>SUM(I6:I12)</f>
        <v>188563.22999999998</v>
      </c>
      <c r="J14" s="46">
        <f t="shared" ref="J14:L14" si="4">SUM(J6:J12)</f>
        <v>233484.95166666666</v>
      </c>
      <c r="K14" s="46">
        <f t="shared" si="4"/>
        <v>233584.0516666667</v>
      </c>
      <c r="L14" s="46">
        <f t="shared" si="4"/>
        <v>143046.28666666668</v>
      </c>
    </row>
    <row r="15" spans="1:14" ht="17.25" x14ac:dyDescent="0.25">
      <c r="A15" s="147" t="s">
        <v>62</v>
      </c>
      <c r="B15" s="147"/>
      <c r="C15" s="147"/>
      <c r="D15" s="147"/>
      <c r="E15" s="152"/>
      <c r="F15" s="152"/>
      <c r="G15" s="152"/>
      <c r="H15" s="46">
        <f>H14</f>
        <v>189728.75999999998</v>
      </c>
      <c r="I15" s="46">
        <f>I14+H15</f>
        <v>378291.99</v>
      </c>
      <c r="J15" s="46">
        <f t="shared" ref="J15:L15" si="5">J14+I15</f>
        <v>611776.94166666665</v>
      </c>
      <c r="K15" s="46">
        <f t="shared" si="5"/>
        <v>845360.9933333334</v>
      </c>
      <c r="L15" s="46">
        <f t="shared" si="5"/>
        <v>988407.28</v>
      </c>
    </row>
    <row r="16" spans="1:14" ht="17.25" x14ac:dyDescent="0.25">
      <c r="A16" s="147" t="s">
        <v>63</v>
      </c>
      <c r="B16" s="147"/>
      <c r="C16" s="147"/>
      <c r="D16" s="147"/>
      <c r="E16" s="152"/>
      <c r="F16" s="152"/>
      <c r="G16" s="152"/>
      <c r="H16" s="47">
        <f>H14/$C$13</f>
        <v>0.19195402931471728</v>
      </c>
      <c r="I16" s="47">
        <f>I14/$C$13</f>
        <v>0.19077482917770494</v>
      </c>
      <c r="J16" s="47">
        <f t="shared" ref="J16:L16" si="6">J14/$C$13</f>
        <v>0.23622342367476962</v>
      </c>
      <c r="K16" s="47">
        <f t="shared" si="6"/>
        <v>0.23632368598768991</v>
      </c>
      <c r="L16" s="47">
        <f t="shared" si="6"/>
        <v>0.14472403184511823</v>
      </c>
    </row>
    <row r="17" spans="1:12" ht="17.25" x14ac:dyDescent="0.25">
      <c r="A17" s="147" t="s">
        <v>64</v>
      </c>
      <c r="B17" s="147"/>
      <c r="C17" s="147"/>
      <c r="D17" s="147"/>
      <c r="E17" s="152"/>
      <c r="F17" s="152"/>
      <c r="G17" s="152"/>
      <c r="H17" s="48">
        <f>H16</f>
        <v>0.19195402931471728</v>
      </c>
      <c r="I17" s="47">
        <f>I16+H17</f>
        <v>0.38272885849242222</v>
      </c>
      <c r="J17" s="47">
        <f t="shared" ref="J17:L17" si="7">J16+I17</f>
        <v>0.61895228216719178</v>
      </c>
      <c r="K17" s="47">
        <f t="shared" si="7"/>
        <v>0.85527596815488172</v>
      </c>
      <c r="L17" s="47">
        <f t="shared" si="7"/>
        <v>1</v>
      </c>
    </row>
  </sheetData>
  <mergeCells count="25">
    <mergeCell ref="E4:L4"/>
    <mergeCell ref="E13:L13"/>
    <mergeCell ref="E1:L2"/>
    <mergeCell ref="C3:I3"/>
    <mergeCell ref="J3:L3"/>
    <mergeCell ref="E14:G17"/>
    <mergeCell ref="E6:G6"/>
    <mergeCell ref="E7:G7"/>
    <mergeCell ref="E8:G8"/>
    <mergeCell ref="E9:G9"/>
    <mergeCell ref="E10:G10"/>
    <mergeCell ref="E11:G11"/>
    <mergeCell ref="E12:G12"/>
    <mergeCell ref="A17:D17"/>
    <mergeCell ref="A1:D1"/>
    <mergeCell ref="A2:D2"/>
    <mergeCell ref="A4:A5"/>
    <mergeCell ref="B4:B5"/>
    <mergeCell ref="C4:C5"/>
    <mergeCell ref="D4:D5"/>
    <mergeCell ref="A13:B13"/>
    <mergeCell ref="A14:D14"/>
    <mergeCell ref="A15:D15"/>
    <mergeCell ref="A16:D16"/>
    <mergeCell ref="A3:B3"/>
  </mergeCells>
  <pageMargins left="1.1354166666666667" right="0.511811024" top="1.4270833333333333" bottom="0.78740157499999996" header="0.31496062000000002" footer="0.31496062000000002"/>
  <pageSetup paperSize="9" scale="71" fitToHeight="0" orientation="landscape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colBreaks count="1" manualBreakCount="1">
    <brk id="12" max="1048575" man="1"/>
  </col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G19"/>
  <sheetViews>
    <sheetView view="pageBreakPreview" zoomScaleNormal="100" zoomScaleSheetLayoutView="100" workbookViewId="0">
      <selection activeCell="C41" sqref="C41"/>
    </sheetView>
  </sheetViews>
  <sheetFormatPr defaultRowHeight="15.75" x14ac:dyDescent="0.25"/>
  <cols>
    <col min="1" max="1" width="15.28515625" style="19" customWidth="1"/>
    <col min="2" max="2" width="12.5703125" style="19" customWidth="1"/>
    <col min="3" max="3" width="21.140625" style="19" customWidth="1"/>
    <col min="4" max="4" width="18.85546875" style="19" customWidth="1"/>
    <col min="5" max="5" width="9.85546875" style="19" customWidth="1"/>
    <col min="6" max="6" width="10" style="19" customWidth="1"/>
    <col min="7" max="16384" width="9.140625" style="19"/>
  </cols>
  <sheetData>
    <row r="1" spans="1:7" x14ac:dyDescent="0.25">
      <c r="A1" s="157" t="s">
        <v>149</v>
      </c>
      <c r="B1" s="157"/>
      <c r="C1" s="157"/>
      <c r="D1" s="157"/>
      <c r="E1" s="157"/>
      <c r="F1" s="157"/>
      <c r="G1" s="157"/>
    </row>
    <row r="2" spans="1:7" x14ac:dyDescent="0.25">
      <c r="A2" s="157" t="s">
        <v>150</v>
      </c>
      <c r="B2" s="157" t="s">
        <v>151</v>
      </c>
      <c r="C2" s="157" t="s">
        <v>152</v>
      </c>
      <c r="D2" s="157"/>
      <c r="E2" s="157" t="s">
        <v>155</v>
      </c>
      <c r="F2" s="157"/>
      <c r="G2" s="157"/>
    </row>
    <row r="3" spans="1:7" x14ac:dyDescent="0.25">
      <c r="A3" s="157"/>
      <c r="B3" s="157"/>
      <c r="C3" s="23" t="s">
        <v>153</v>
      </c>
      <c r="D3" s="23" t="s">
        <v>154</v>
      </c>
      <c r="E3" s="23" t="s">
        <v>156</v>
      </c>
      <c r="F3" s="23" t="s">
        <v>157</v>
      </c>
      <c r="G3" s="23" t="s">
        <v>65</v>
      </c>
    </row>
    <row r="4" spans="1:7" s="88" customFormat="1" ht="38.25" x14ac:dyDescent="0.25">
      <c r="A4" s="89" t="s">
        <v>158</v>
      </c>
      <c r="B4" s="90" t="s">
        <v>159</v>
      </c>
      <c r="C4" s="89" t="s">
        <v>160</v>
      </c>
      <c r="D4" s="89" t="s">
        <v>161</v>
      </c>
      <c r="E4" s="90">
        <v>26.55</v>
      </c>
      <c r="F4" s="90">
        <v>2.75</v>
      </c>
      <c r="G4" s="91">
        <f>SUM(E4:F4)</f>
        <v>29.3</v>
      </c>
    </row>
    <row r="5" spans="1:7" s="88" customFormat="1" ht="51" x14ac:dyDescent="0.25">
      <c r="A5" s="89" t="s">
        <v>164</v>
      </c>
      <c r="B5" s="89" t="s">
        <v>162</v>
      </c>
      <c r="C5" s="89" t="s">
        <v>168</v>
      </c>
      <c r="D5" s="89" t="s">
        <v>163</v>
      </c>
      <c r="E5" s="91">
        <v>0</v>
      </c>
      <c r="F5" s="91">
        <v>100</v>
      </c>
      <c r="G5" s="91">
        <f>SUM(E5:F5)</f>
        <v>100</v>
      </c>
    </row>
    <row r="6" spans="1:7" s="88" customFormat="1" ht="25.5" x14ac:dyDescent="0.25">
      <c r="A6" s="90" t="s">
        <v>165</v>
      </c>
      <c r="B6" s="89" t="s">
        <v>166</v>
      </c>
      <c r="C6" s="89" t="s">
        <v>161</v>
      </c>
      <c r="D6" s="90" t="s">
        <v>165</v>
      </c>
      <c r="E6" s="91">
        <v>0</v>
      </c>
      <c r="F6" s="91">
        <v>2.2999999999999998</v>
      </c>
      <c r="G6" s="91">
        <f>SUM(E6:F6)</f>
        <v>2.2999999999999998</v>
      </c>
    </row>
    <row r="7" spans="1:7" s="88" customFormat="1" ht="31.5" customHeight="1" x14ac:dyDescent="0.25">
      <c r="A7" s="90" t="s">
        <v>165</v>
      </c>
      <c r="B7" s="89" t="s">
        <v>166</v>
      </c>
      <c r="C7" s="89" t="s">
        <v>167</v>
      </c>
      <c r="D7" s="90" t="s">
        <v>165</v>
      </c>
      <c r="E7" s="91">
        <v>0</v>
      </c>
      <c r="F7" s="91">
        <v>2.5</v>
      </c>
      <c r="G7" s="91">
        <f>F7+E7</f>
        <v>2.5</v>
      </c>
    </row>
    <row r="8" spans="1:7" s="88" customFormat="1" ht="12.75" x14ac:dyDescent="0.25"/>
    <row r="9" spans="1:7" s="88" customFormat="1" ht="12.75" x14ac:dyDescent="0.25"/>
    <row r="10" spans="1:7" s="88" customFormat="1" ht="12.75" x14ac:dyDescent="0.25"/>
    <row r="11" spans="1:7" s="88" customFormat="1" ht="12.75" x14ac:dyDescent="0.25"/>
    <row r="12" spans="1:7" s="88" customFormat="1" ht="12.75" x14ac:dyDescent="0.25"/>
    <row r="13" spans="1:7" s="88" customFormat="1" ht="12.75" x14ac:dyDescent="0.25"/>
    <row r="14" spans="1:7" s="88" customFormat="1" ht="12.75" x14ac:dyDescent="0.25"/>
    <row r="15" spans="1:7" s="88" customFormat="1" ht="12.75" x14ac:dyDescent="0.25"/>
    <row r="16" spans="1:7" s="88" customFormat="1" ht="12.75" x14ac:dyDescent="0.25"/>
    <row r="17" s="88" customFormat="1" ht="12.75" x14ac:dyDescent="0.25"/>
    <row r="18" s="88" customFormat="1" ht="12.75" x14ac:dyDescent="0.25"/>
    <row r="19" s="88" customFormat="1" ht="12.75" x14ac:dyDescent="0.25"/>
  </sheetData>
  <mergeCells count="5">
    <mergeCell ref="E2:G2"/>
    <mergeCell ref="C2:D2"/>
    <mergeCell ref="A2:A3"/>
    <mergeCell ref="B2:B3"/>
    <mergeCell ref="A1:G1"/>
  </mergeCells>
  <pageMargins left="0.511811024" right="0.511811024" top="1.3854166666666667" bottom="0.78740157499999996" header="0.31496062000000002" footer="0.31496062000000002"/>
  <pageSetup paperSize="9" scale="95" orientation="portrait" verticalDpi="0" r:id="rId1"/>
  <headerFooter>
    <oddHeader>&amp;C&amp;G</oddHeader>
    <oddFooter>&amp;C&amp;"-,Itálico"Logradouro: Rua Elias Estevão Colnago, nº 65 – Centro - Itarana/ES. CEP 29620-000 
Tel.: (27) 3720-4900 – Site: www.itarana.es.gov.br – CNPJ: 27.104.363/0001-23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5</vt:i4>
      </vt:variant>
    </vt:vector>
  </HeadingPairs>
  <TitlesOfParts>
    <vt:vector size="10" baseType="lpstr">
      <vt:lpstr>CAPA</vt:lpstr>
      <vt:lpstr>PLANILHA ORÇAMENTÁRIA</vt:lpstr>
      <vt:lpstr>MEMÓRIA DE CÁLCULO</vt:lpstr>
      <vt:lpstr>CRONOGRAMA FÍSICO-FINANCEIRO</vt:lpstr>
      <vt:lpstr>QUADRO RESUMO DMT</vt:lpstr>
      <vt:lpstr>CAPA!Area_de_impressao</vt:lpstr>
      <vt:lpstr>'CRONOGRAMA FÍSICO-FINANCEIRO'!Area_de_impressao</vt:lpstr>
      <vt:lpstr>'MEMÓRIA DE CÁLCULO'!Area_de_impressao</vt:lpstr>
      <vt:lpstr>'PLANILHA ORÇAMENTÁRIA'!Area_de_impressao</vt:lpstr>
      <vt:lpstr>'PLANILHA ORÇAMENTÁRIA'!Titulos_de_impressao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Igor Dominicini</dc:creator>
  <cp:lastModifiedBy>Igor Alves Folador Dominicini</cp:lastModifiedBy>
  <cp:lastPrinted>2019-05-27T13:51:35Z</cp:lastPrinted>
  <dcterms:created xsi:type="dcterms:W3CDTF">2018-09-06T18:07:14Z</dcterms:created>
  <dcterms:modified xsi:type="dcterms:W3CDTF">2019-05-27T13:51:38Z</dcterms:modified>
</cp:coreProperties>
</file>