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ENGENHARIA\Prefeitura Municipal de Itarana\Ginásio Poliesportivo Rizzi\ATUALIZAÇÃO 2018\REV03\"/>
    </mc:Choice>
  </mc:AlternateContent>
  <bookViews>
    <workbookView xWindow="0" yWindow="0" windowWidth="20490" windowHeight="7650" firstSheet="3" activeTab="6"/>
  </bookViews>
  <sheets>
    <sheet name="Resumo" sheetId="9" r:id="rId1"/>
    <sheet name="PLANILHA ORÇAMENTÁRIA" sheetId="1" r:id="rId2"/>
    <sheet name="PLANILHA QUANTITATIVA" sheetId="3" r:id="rId3"/>
    <sheet name="CRONOGRAMA FÍSICO-FINANCEIRO" sheetId="2" r:id="rId4"/>
    <sheet name="TABELA RESUMO" sheetId="7" r:id="rId5"/>
    <sheet name="Detalhamento do BDI" sheetId="6" r:id="rId6"/>
    <sheet name="COMPOSIÇÕES" sheetId="8" r:id="rId7"/>
  </sheets>
  <externalReferences>
    <externalReference r:id="rId8"/>
  </externalReferences>
  <definedNames>
    <definedName name="_xlnm.Print_Area" localSheetId="3">'CRONOGRAMA FÍSICO-FINANCEIRO'!$A$1:$K$26</definedName>
    <definedName name="_xlnm.Print_Area" localSheetId="5">'Detalhamento do BDI'!$A$1:$D$57</definedName>
    <definedName name="_xlnm.Print_Area" localSheetId="1">'PLANILHA ORÇAMENTÁRIA'!$A$1:$I$113</definedName>
    <definedName name="_xlnm.Print_Area" localSheetId="2">'PLANILHA QUANTITATIVA'!$A$1:$K$132</definedName>
    <definedName name="_xlnm.Print_Area" localSheetId="0">Resumo!$A$1:$D$77</definedName>
    <definedName name="_xlnm.Print_Titles" localSheetId="1">'PLANILHA ORÇAMENTÁRIA'!$1:$7</definedName>
    <definedName name="_xlnm.Print_Titles" localSheetId="2">'PLANILHA QUANTITATIVA'!$1:$4</definedName>
    <definedName name="_xlnm.Print_Titles" localSheetId="0">Resumo!$A:$D,Resumo!$1:$7</definedName>
  </definedNames>
  <calcPr calcId="162913"/>
</workbook>
</file>

<file path=xl/calcChain.xml><?xml version="1.0" encoding="utf-8"?>
<calcChain xmlns="http://schemas.openxmlformats.org/spreadsheetml/2006/main">
  <c r="E19" i="2" l="1"/>
  <c r="E21" i="2"/>
  <c r="F21" i="2"/>
  <c r="G21" i="2"/>
  <c r="H21" i="2"/>
  <c r="I21" i="2"/>
  <c r="J21" i="2"/>
  <c r="K21" i="2"/>
  <c r="J20" i="2"/>
  <c r="J11" i="2"/>
  <c r="K20" i="2"/>
  <c r="K18" i="2"/>
  <c r="I15" i="2"/>
  <c r="K15" i="2"/>
  <c r="J19" i="2"/>
  <c r="J16" i="2"/>
  <c r="I13" i="2"/>
  <c r="J10" i="2"/>
  <c r="H14" i="2"/>
  <c r="H12" i="2"/>
  <c r="G9" i="2"/>
  <c r="F17" i="2"/>
  <c r="E8" i="2"/>
  <c r="F107" i="1" l="1"/>
  <c r="B38" i="9" l="1"/>
  <c r="B36" i="9"/>
  <c r="B32" i="9"/>
  <c r="B30" i="9"/>
  <c r="B28" i="9"/>
  <c r="B26" i="9"/>
  <c r="B24" i="9"/>
  <c r="B22" i="9"/>
  <c r="B20" i="9"/>
  <c r="B18" i="9"/>
  <c r="B16" i="9"/>
  <c r="B14" i="9"/>
  <c r="B12" i="9"/>
  <c r="B10" i="9"/>
  <c r="B8" i="9"/>
  <c r="K8" i="3" l="1"/>
  <c r="K115" i="3" l="1"/>
  <c r="K109" i="3"/>
  <c r="K97" i="3"/>
  <c r="K21" i="3"/>
  <c r="K112" i="3"/>
  <c r="F94" i="1" s="1"/>
  <c r="K106" i="3"/>
  <c r="F88" i="1" s="1"/>
  <c r="B112" i="3"/>
  <c r="H94" i="1"/>
  <c r="B106" i="3"/>
  <c r="H88" i="1"/>
  <c r="J100" i="3"/>
  <c r="K100" i="3" s="1"/>
  <c r="F82" i="1" s="1"/>
  <c r="H82" i="1"/>
  <c r="C100" i="3"/>
  <c r="B100" i="3"/>
  <c r="A100" i="3"/>
  <c r="K65" i="3"/>
  <c r="F56" i="1" s="1"/>
  <c r="C65" i="3"/>
  <c r="B65" i="3"/>
  <c r="H56" i="1"/>
  <c r="H31" i="1"/>
  <c r="I94" i="1" l="1"/>
  <c r="I88" i="1"/>
  <c r="I82" i="1"/>
  <c r="I56" i="1"/>
  <c r="B19" i="2"/>
  <c r="B34" i="9" s="1"/>
  <c r="I119" i="3"/>
  <c r="K119" i="3" s="1"/>
  <c r="B119" i="3"/>
  <c r="A119" i="3"/>
  <c r="B118" i="3"/>
  <c r="A118" i="3"/>
  <c r="H101" i="1"/>
  <c r="K117" i="3"/>
  <c r="K116" i="3"/>
  <c r="F97" i="1"/>
  <c r="K114" i="3"/>
  <c r="F96" i="1" s="1"/>
  <c r="H114" i="3"/>
  <c r="C115" i="3"/>
  <c r="C116" i="3"/>
  <c r="C117" i="3"/>
  <c r="C114" i="3"/>
  <c r="B115" i="3"/>
  <c r="B116" i="3"/>
  <c r="B117" i="3"/>
  <c r="B114" i="3"/>
  <c r="A115" i="3"/>
  <c r="A116" i="3"/>
  <c r="A117" i="3"/>
  <c r="A114" i="3"/>
  <c r="B113" i="3"/>
  <c r="A113" i="3"/>
  <c r="H96" i="1"/>
  <c r="H97" i="1"/>
  <c r="H98" i="1"/>
  <c r="H99" i="1"/>
  <c r="H111" i="3"/>
  <c r="I111" i="3" s="1"/>
  <c r="K111" i="3" s="1"/>
  <c r="H110" i="3"/>
  <c r="I110" i="3" s="1"/>
  <c r="K110" i="3" s="1"/>
  <c r="F91" i="1"/>
  <c r="H108" i="3"/>
  <c r="K108" i="3" s="1"/>
  <c r="F90" i="1" s="1"/>
  <c r="C109" i="3"/>
  <c r="C110" i="3"/>
  <c r="C111" i="3"/>
  <c r="C108" i="3"/>
  <c r="A109" i="3"/>
  <c r="B109" i="3"/>
  <c r="A110" i="3"/>
  <c r="B110" i="3"/>
  <c r="A111" i="3"/>
  <c r="B111" i="3"/>
  <c r="B108" i="3"/>
  <c r="A108" i="3"/>
  <c r="B107" i="3"/>
  <c r="H93" i="1"/>
  <c r="H92" i="1"/>
  <c r="H91" i="1"/>
  <c r="H90" i="1"/>
  <c r="H105" i="3"/>
  <c r="I105" i="3" s="1"/>
  <c r="K105" i="3" s="1"/>
  <c r="H104" i="3"/>
  <c r="I104" i="3" s="1"/>
  <c r="K104" i="3" s="1"/>
  <c r="E103" i="3"/>
  <c r="K103" i="3" s="1"/>
  <c r="F85" i="1" s="1"/>
  <c r="H102" i="3"/>
  <c r="K102" i="3" s="1"/>
  <c r="F84" i="1" s="1"/>
  <c r="A103" i="3"/>
  <c r="B103" i="3"/>
  <c r="C103" i="3"/>
  <c r="A104" i="3"/>
  <c r="B104" i="3"/>
  <c r="C104" i="3"/>
  <c r="A105" i="3"/>
  <c r="B105" i="3"/>
  <c r="C105" i="3"/>
  <c r="C102" i="3"/>
  <c r="B102" i="3"/>
  <c r="A102" i="3"/>
  <c r="B101" i="3"/>
  <c r="H84" i="1"/>
  <c r="H85" i="1"/>
  <c r="H86" i="1"/>
  <c r="H87" i="1"/>
  <c r="H99" i="3"/>
  <c r="I99" i="3" s="1"/>
  <c r="K99" i="3" s="1"/>
  <c r="F81" i="1" s="1"/>
  <c r="H98" i="3"/>
  <c r="I98" i="3" s="1"/>
  <c r="K98" i="3" s="1"/>
  <c r="F80" i="1" s="1"/>
  <c r="F79" i="1"/>
  <c r="K96" i="3"/>
  <c r="F78" i="1" s="1"/>
  <c r="H96" i="3"/>
  <c r="C97" i="3"/>
  <c r="C98" i="3"/>
  <c r="C99" i="3"/>
  <c r="C96" i="3"/>
  <c r="B97" i="3"/>
  <c r="B98" i="3"/>
  <c r="B99" i="3"/>
  <c r="B96" i="3"/>
  <c r="A97" i="3"/>
  <c r="A98" i="3"/>
  <c r="A99" i="3"/>
  <c r="A96" i="3"/>
  <c r="B95" i="3"/>
  <c r="H78" i="1"/>
  <c r="H79" i="1"/>
  <c r="H80" i="1"/>
  <c r="H81" i="1"/>
  <c r="H94" i="3"/>
  <c r="I94" i="3" s="1"/>
  <c r="K94" i="3" s="1"/>
  <c r="F76" i="1" s="1"/>
  <c r="I93" i="3"/>
  <c r="K93" i="3" s="1"/>
  <c r="F75" i="1" s="1"/>
  <c r="H93" i="3"/>
  <c r="E92" i="3"/>
  <c r="H91" i="3"/>
  <c r="K91" i="3" s="1"/>
  <c r="F73" i="1" s="1"/>
  <c r="K90" i="3"/>
  <c r="F72" i="1" s="1"/>
  <c r="C91" i="3"/>
  <c r="C92" i="3"/>
  <c r="C93" i="3"/>
  <c r="C94" i="3"/>
  <c r="C90" i="3"/>
  <c r="B91" i="3"/>
  <c r="B92" i="3"/>
  <c r="B93" i="3"/>
  <c r="B94" i="3"/>
  <c r="B90" i="3"/>
  <c r="B89" i="3"/>
  <c r="A90" i="3"/>
  <c r="A91" i="3"/>
  <c r="A92" i="3"/>
  <c r="A93" i="3"/>
  <c r="A94" i="3"/>
  <c r="A89" i="3"/>
  <c r="B88" i="3"/>
  <c r="H72" i="1"/>
  <c r="H73" i="1"/>
  <c r="H74" i="1"/>
  <c r="H75" i="1"/>
  <c r="H76" i="1"/>
  <c r="K92" i="3" l="1"/>
  <c r="F74" i="1" s="1"/>
  <c r="I74" i="1" s="1"/>
  <c r="I101" i="1"/>
  <c r="I81" i="1"/>
  <c r="I79" i="1"/>
  <c r="I97" i="1"/>
  <c r="I98" i="1"/>
  <c r="I80" i="1"/>
  <c r="I93" i="1"/>
  <c r="I85" i="1"/>
  <c r="I91" i="1"/>
  <c r="I99" i="1"/>
  <c r="I96" i="1"/>
  <c r="I92" i="1"/>
  <c r="I78" i="1"/>
  <c r="I90" i="1"/>
  <c r="I84" i="1"/>
  <c r="I86" i="1"/>
  <c r="I87" i="1"/>
  <c r="I75" i="1"/>
  <c r="I72" i="1"/>
  <c r="I73" i="1"/>
  <c r="I76" i="1"/>
  <c r="K132" i="3"/>
  <c r="F112" i="1" s="1"/>
  <c r="B132" i="3"/>
  <c r="B131" i="3"/>
  <c r="G3" i="8"/>
  <c r="G2" i="8"/>
  <c r="K58" i="3"/>
  <c r="F49" i="1" s="1"/>
  <c r="K59" i="3"/>
  <c r="F50" i="1" s="1"/>
  <c r="K60" i="3"/>
  <c r="F51" i="1" s="1"/>
  <c r="K61" i="3"/>
  <c r="F52" i="1" s="1"/>
  <c r="K62" i="3"/>
  <c r="F53" i="1" s="1"/>
  <c r="K63" i="3"/>
  <c r="F54" i="1" s="1"/>
  <c r="K64" i="3"/>
  <c r="F55" i="1" s="1"/>
  <c r="K57" i="3"/>
  <c r="F48" i="1" s="1"/>
  <c r="K56" i="3"/>
  <c r="I70" i="1" l="1"/>
  <c r="C19" i="2" s="1"/>
  <c r="D34" i="9" s="1"/>
  <c r="G4" i="8"/>
  <c r="G112" i="1" s="1"/>
  <c r="H112" i="1" s="1"/>
  <c r="I112" i="1" s="1"/>
  <c r="I111" i="1" s="1"/>
  <c r="C21" i="2" s="1"/>
  <c r="D38" i="9" s="1"/>
  <c r="B57" i="3"/>
  <c r="B58" i="3"/>
  <c r="B59" i="3"/>
  <c r="B60" i="3"/>
  <c r="B61" i="3"/>
  <c r="B62" i="3"/>
  <c r="B63" i="3"/>
  <c r="B64" i="3"/>
  <c r="B55" i="3"/>
  <c r="H48" i="1"/>
  <c r="I48" i="1" s="1"/>
  <c r="H49" i="1"/>
  <c r="I49" i="1" s="1"/>
  <c r="H50" i="1"/>
  <c r="I50" i="1" s="1"/>
  <c r="H51" i="1"/>
  <c r="I51" i="1" s="1"/>
  <c r="H52" i="1"/>
  <c r="I52" i="1" s="1"/>
  <c r="H53" i="1"/>
  <c r="I53" i="1" s="1"/>
  <c r="H54" i="1"/>
  <c r="I54" i="1" s="1"/>
  <c r="H55" i="1"/>
  <c r="I55" i="1" s="1"/>
  <c r="L19" i="2" l="1"/>
  <c r="M19" i="2" s="1"/>
  <c r="G58" i="7"/>
  <c r="G56" i="7"/>
  <c r="G54" i="7"/>
  <c r="G52" i="7"/>
  <c r="L21" i="2" l="1"/>
  <c r="M21" i="2" s="1"/>
  <c r="G26" i="7"/>
  <c r="G16" i="7"/>
  <c r="G13" i="7"/>
  <c r="G9" i="7"/>
  <c r="G7" i="7"/>
  <c r="G5" i="7"/>
  <c r="G3" i="7"/>
  <c r="H86" i="3"/>
  <c r="K86" i="3" s="1"/>
  <c r="K84" i="3" s="1"/>
  <c r="F68" i="1" s="1"/>
  <c r="K130" i="3"/>
  <c r="F110" i="1" s="1"/>
  <c r="B130" i="3"/>
  <c r="G68" i="7" l="1"/>
  <c r="D25" i="3" s="1"/>
  <c r="K25" i="3" s="1"/>
  <c r="I110" i="1"/>
  <c r="A44" i="6"/>
  <c r="A41" i="6"/>
  <c r="E37" i="6"/>
  <c r="C33" i="6"/>
  <c r="C26" i="6" s="1"/>
  <c r="C37" i="6" s="1"/>
  <c r="H15" i="1" l="1"/>
  <c r="H17" i="1"/>
  <c r="H18" i="1"/>
  <c r="H19" i="1"/>
  <c r="H20" i="1"/>
  <c r="H21" i="1"/>
  <c r="H22" i="1"/>
  <c r="H23" i="1"/>
  <c r="H27" i="1"/>
  <c r="H29" i="1"/>
  <c r="H32" i="1"/>
  <c r="H35" i="1"/>
  <c r="H36" i="1"/>
  <c r="H37" i="1"/>
  <c r="H38" i="1"/>
  <c r="H39" i="1"/>
  <c r="H41" i="1"/>
  <c r="H42" i="1"/>
  <c r="H44" i="1"/>
  <c r="H45" i="1"/>
  <c r="H47" i="1"/>
  <c r="H58" i="1"/>
  <c r="H59" i="1"/>
  <c r="H61" i="1"/>
  <c r="H62" i="1"/>
  <c r="H64" i="1"/>
  <c r="H65" i="1"/>
  <c r="H69" i="1"/>
  <c r="H103" i="1"/>
  <c r="H104" i="1"/>
  <c r="H106" i="1"/>
  <c r="H107" i="1"/>
  <c r="H108" i="1"/>
  <c r="H109" i="1"/>
  <c r="H10" i="1"/>
  <c r="H11" i="1"/>
  <c r="H12" i="1"/>
  <c r="H13" i="1"/>
  <c r="H9" i="1"/>
  <c r="F11" i="1" l="1"/>
  <c r="K129" i="3" l="1"/>
  <c r="F109" i="1" s="1"/>
  <c r="K128" i="3"/>
  <c r="F108" i="1" s="1"/>
  <c r="H126" i="3"/>
  <c r="K126" i="3" s="1"/>
  <c r="H125" i="3"/>
  <c r="K125" i="3" s="1"/>
  <c r="F106" i="1" s="1"/>
  <c r="K124" i="3"/>
  <c r="F105" i="1" s="1"/>
  <c r="K123" i="3"/>
  <c r="F104" i="1" s="1"/>
  <c r="K121" i="3"/>
  <c r="F103" i="1" s="1"/>
  <c r="B123" i="3"/>
  <c r="B124" i="3"/>
  <c r="B125" i="3"/>
  <c r="B126" i="3"/>
  <c r="B128" i="3"/>
  <c r="B129" i="3"/>
  <c r="B121" i="3"/>
  <c r="K87" i="3"/>
  <c r="F69" i="1" s="1"/>
  <c r="B87" i="3"/>
  <c r="B84" i="3"/>
  <c r="H78" i="3"/>
  <c r="K78" i="3" s="1"/>
  <c r="H77" i="3"/>
  <c r="K77" i="3" s="1"/>
  <c r="F63" i="1" s="1"/>
  <c r="H80" i="3" l="1"/>
  <c r="K80" i="3" s="1"/>
  <c r="F66" i="1" s="1"/>
  <c r="B80" i="3"/>
  <c r="H79" i="3"/>
  <c r="K79" i="3" s="1"/>
  <c r="F65" i="1" s="1"/>
  <c r="H73" i="3"/>
  <c r="K73" i="3" s="1"/>
  <c r="F62" i="1" s="1"/>
  <c r="H72" i="3"/>
  <c r="I72" i="3" s="1"/>
  <c r="K72" i="3" s="1"/>
  <c r="F61" i="1" l="1"/>
  <c r="N71" i="3"/>
  <c r="I66" i="1"/>
  <c r="B79" i="3"/>
  <c r="B78" i="3"/>
  <c r="B77" i="3"/>
  <c r="B73" i="3"/>
  <c r="B72" i="3"/>
  <c r="K69" i="3"/>
  <c r="K67" i="3"/>
  <c r="B69" i="3"/>
  <c r="B67" i="3"/>
  <c r="F47" i="1"/>
  <c r="B56" i="3"/>
  <c r="B54" i="3"/>
  <c r="B53" i="3"/>
  <c r="K51" i="3"/>
  <c r="K50" i="3"/>
  <c r="B49" i="3"/>
  <c r="B48" i="3"/>
  <c r="B45" i="3"/>
  <c r="B44" i="3"/>
  <c r="B43" i="3"/>
  <c r="B42" i="3"/>
  <c r="B41" i="3"/>
  <c r="K37" i="3"/>
  <c r="K36" i="3"/>
  <c r="B36" i="3"/>
  <c r="H33" i="3"/>
  <c r="K33" i="3" s="1"/>
  <c r="F31" i="1" s="1"/>
  <c r="B37" i="3"/>
  <c r="B33" i="3"/>
  <c r="B31" i="3"/>
  <c r="K31" i="3"/>
  <c r="F29" i="1" s="1"/>
  <c r="B28" i="3"/>
  <c r="K28" i="3"/>
  <c r="F27" i="1" s="1"/>
  <c r="K49" i="3" l="1"/>
  <c r="F42" i="1" s="1"/>
  <c r="F25" i="1"/>
  <c r="B25" i="3"/>
  <c r="I23" i="3"/>
  <c r="K23" i="3" s="1"/>
  <c r="F23" i="1" s="1"/>
  <c r="I22" i="3"/>
  <c r="K22" i="3" s="1"/>
  <c r="F22" i="1" s="1"/>
  <c r="B23" i="3"/>
  <c r="F21" i="1"/>
  <c r="B22" i="3"/>
  <c r="B21" i="3"/>
  <c r="H20" i="3"/>
  <c r="K20" i="3" s="1"/>
  <c r="F20" i="1" s="1"/>
  <c r="B20" i="3"/>
  <c r="B19" i="3"/>
  <c r="B15" i="3"/>
  <c r="D15" i="3"/>
  <c r="K17" i="3"/>
  <c r="K16" i="3"/>
  <c r="K9" i="3"/>
  <c r="H11" i="3"/>
  <c r="K11" i="3" s="1"/>
  <c r="F13" i="1" s="1"/>
  <c r="H19" i="3"/>
  <c r="K19" i="3" s="1"/>
  <c r="F19" i="1" s="1"/>
  <c r="B11" i="3"/>
  <c r="B9" i="3"/>
  <c r="H7" i="3"/>
  <c r="K7" i="3" s="1"/>
  <c r="F10" i="1" s="1"/>
  <c r="B7" i="3"/>
  <c r="B8" i="3"/>
  <c r="H6" i="3"/>
  <c r="K6" i="3" s="1"/>
  <c r="F9" i="1" s="1"/>
  <c r="B6" i="3"/>
  <c r="F12" i="1" l="1"/>
  <c r="C41" i="9"/>
  <c r="I10" i="1"/>
  <c r="K15" i="3"/>
  <c r="H13" i="3"/>
  <c r="K13" i="3" s="1"/>
  <c r="F15" i="1" s="1"/>
  <c r="F64" i="1" l="1"/>
  <c r="F59" i="1"/>
  <c r="F58" i="1"/>
  <c r="K54" i="3" l="1"/>
  <c r="F45" i="1" s="1"/>
  <c r="K53" i="3"/>
  <c r="F44" i="1" s="1"/>
  <c r="K48" i="3"/>
  <c r="F41" i="1" s="1"/>
  <c r="K41" i="3"/>
  <c r="F35" i="1" s="1"/>
  <c r="K42" i="3"/>
  <c r="F36" i="1" s="1"/>
  <c r="K43" i="3"/>
  <c r="F37" i="1" s="1"/>
  <c r="K44" i="3"/>
  <c r="F38" i="1" s="1"/>
  <c r="K45" i="3"/>
  <c r="F39" i="1" s="1"/>
  <c r="F32" i="1"/>
  <c r="F33" i="1"/>
  <c r="I32" i="1" l="1"/>
  <c r="I19" i="1"/>
  <c r="I20" i="1"/>
  <c r="I21" i="1"/>
  <c r="I22" i="1"/>
  <c r="I23" i="1"/>
  <c r="I33" i="1" l="1"/>
  <c r="I15" i="1" l="1"/>
  <c r="I17" i="1"/>
  <c r="I16" i="1" s="1"/>
  <c r="I25" i="1"/>
  <c r="I24" i="1" s="1"/>
  <c r="C9" i="2" s="1"/>
  <c r="D14" i="9" s="1"/>
  <c r="I27" i="1"/>
  <c r="I26" i="1" s="1"/>
  <c r="C10" i="2" s="1"/>
  <c r="I29" i="1"/>
  <c r="I31" i="1"/>
  <c r="I30" i="1" s="1"/>
  <c r="I35" i="1"/>
  <c r="I36" i="1"/>
  <c r="I37" i="1"/>
  <c r="I38" i="1"/>
  <c r="I39" i="1"/>
  <c r="I41" i="1"/>
  <c r="I42" i="1"/>
  <c r="I44" i="1"/>
  <c r="I45" i="1"/>
  <c r="I47" i="1"/>
  <c r="I43" i="1" s="1"/>
  <c r="I58" i="1"/>
  <c r="I59" i="1"/>
  <c r="I64" i="1"/>
  <c r="I62" i="1"/>
  <c r="I68" i="1"/>
  <c r="I69" i="1"/>
  <c r="I103" i="1"/>
  <c r="I104" i="1"/>
  <c r="I105" i="1"/>
  <c r="I106" i="1"/>
  <c r="I107" i="1"/>
  <c r="I108" i="1"/>
  <c r="I109" i="1"/>
  <c r="D16" i="9" l="1"/>
  <c r="I102" i="1"/>
  <c r="I67" i="1"/>
  <c r="C15" i="2"/>
  <c r="D26" i="9" s="1"/>
  <c r="I40" i="1"/>
  <c r="C18" i="2"/>
  <c r="I34" i="1"/>
  <c r="C13" i="2" s="1"/>
  <c r="D22" i="9" s="1"/>
  <c r="C8" i="2"/>
  <c r="D12" i="9" s="1"/>
  <c r="I57" i="1"/>
  <c r="I14" i="1"/>
  <c r="C7" i="2" s="1"/>
  <c r="C12" i="2"/>
  <c r="D20" i="9" s="1"/>
  <c r="I28" i="1"/>
  <c r="C11" i="2" s="1"/>
  <c r="L10" i="2"/>
  <c r="M10" i="2" s="1"/>
  <c r="I13" i="1"/>
  <c r="I11" i="1"/>
  <c r="I12" i="1"/>
  <c r="I9" i="1"/>
  <c r="E7" i="2" l="1"/>
  <c r="L7" i="2" s="1"/>
  <c r="M7" i="2" s="1"/>
  <c r="D10" i="9"/>
  <c r="L18" i="2"/>
  <c r="M18" i="2" s="1"/>
  <c r="D32" i="9"/>
  <c r="L11" i="2"/>
  <c r="M11" i="2" s="1"/>
  <c r="D18" i="9"/>
  <c r="C14" i="2"/>
  <c r="I8" i="1"/>
  <c r="C6" i="2"/>
  <c r="D8" i="9" s="1"/>
  <c r="C20" i="2"/>
  <c r="D36" i="9" s="1"/>
  <c r="L15" i="2"/>
  <c r="M15" i="2" s="1"/>
  <c r="L9" i="2"/>
  <c r="M9" i="2" s="1"/>
  <c r="D24" i="9" l="1"/>
  <c r="G23" i="2"/>
  <c r="F23" i="2"/>
  <c r="L14" i="2"/>
  <c r="M14" i="2" s="1"/>
  <c r="L8" i="2"/>
  <c r="M8" i="2" s="1"/>
  <c r="L12" i="2"/>
  <c r="M12" i="2" s="1"/>
  <c r="L13" i="2"/>
  <c r="M13" i="2" s="1"/>
  <c r="L20" i="2"/>
  <c r="M20" i="2" s="1"/>
  <c r="E6" i="2"/>
  <c r="E23" i="2" s="1"/>
  <c r="E24" i="2" l="1"/>
  <c r="L6" i="2"/>
  <c r="M6" i="2" s="1"/>
  <c r="F24" i="2" l="1"/>
  <c r="G24" i="2" s="1"/>
  <c r="I65" i="1"/>
  <c r="C16" i="2" l="1"/>
  <c r="D28" i="9" s="1"/>
  <c r="H23" i="2" l="1"/>
  <c r="L16" i="2" l="1"/>
  <c r="M16" i="2" s="1"/>
  <c r="H24" i="2" l="1"/>
  <c r="I61" i="1"/>
  <c r="I63" i="1" l="1"/>
  <c r="I60" i="1" s="1"/>
  <c r="H113" i="1" l="1"/>
  <c r="N41" i="1"/>
  <c r="C17" i="2"/>
  <c r="D30" i="9" s="1"/>
  <c r="C40" i="9" l="1"/>
  <c r="C22" i="2"/>
  <c r="D19" i="2" s="1"/>
  <c r="I23" i="2"/>
  <c r="K23" i="2"/>
  <c r="J23" i="2"/>
  <c r="C28" i="9" l="1"/>
  <c r="C42" i="9"/>
  <c r="C34" i="9"/>
  <c r="C38" i="9"/>
  <c r="C14" i="9"/>
  <c r="C16" i="9"/>
  <c r="C20" i="9"/>
  <c r="C12" i="9"/>
  <c r="C22" i="9"/>
  <c r="C26" i="9"/>
  <c r="C36" i="9"/>
  <c r="C8" i="9"/>
  <c r="C32" i="9"/>
  <c r="C18" i="9"/>
  <c r="C10" i="9"/>
  <c r="C24" i="9"/>
  <c r="C30" i="9"/>
  <c r="D17" i="2"/>
  <c r="E25" i="2"/>
  <c r="E26" i="2" s="1"/>
  <c r="D21" i="2"/>
  <c r="J25" i="2"/>
  <c r="L17" i="2"/>
  <c r="M17" i="2" s="1"/>
  <c r="D11" i="2"/>
  <c r="D6" i="2"/>
  <c r="D9" i="2"/>
  <c r="D14" i="2"/>
  <c r="G25" i="2"/>
  <c r="H25" i="2"/>
  <c r="D10" i="2"/>
  <c r="F25" i="2"/>
  <c r="D12" i="2"/>
  <c r="D18" i="2"/>
  <c r="D15" i="2"/>
  <c r="D20" i="2"/>
  <c r="D13" i="2"/>
  <c r="D16" i="2"/>
  <c r="D7" i="2"/>
  <c r="D8" i="2"/>
  <c r="K25" i="2"/>
  <c r="D22" i="2" l="1"/>
  <c r="F26" i="2"/>
  <c r="G26" i="2" s="1"/>
  <c r="H26" i="2" s="1"/>
  <c r="I24" i="2"/>
  <c r="J24" i="2" s="1"/>
  <c r="K24" i="2" s="1"/>
  <c r="I25" i="2"/>
  <c r="I26" i="2" l="1"/>
  <c r="J26" i="2" s="1"/>
  <c r="K26" i="2" s="1"/>
</calcChain>
</file>

<file path=xl/comments1.xml><?xml version="1.0" encoding="utf-8"?>
<comments xmlns="http://schemas.openxmlformats.org/spreadsheetml/2006/main">
  <authors>
    <author>caixa</author>
    <author>Cremilson Inácio de Souza</author>
    <author>c094707</author>
  </authors>
  <commentList>
    <comment ref="B3" authorId="0" shapeId="0">
      <text>
        <r>
          <rPr>
            <sz val="9"/>
            <color indexed="81"/>
            <rFont val="Segoe UI"/>
            <family val="2"/>
          </rPr>
          <t>Nome do Orgão  ou Empresa Executante</t>
        </r>
      </text>
    </comment>
    <comment ref="B9" authorId="1" shapeId="0">
      <text>
        <r>
          <rPr>
            <b/>
            <sz val="9"/>
            <color indexed="81"/>
            <rFont val="Tahoma"/>
            <charset val="1"/>
          </rPr>
          <t>Escolha</t>
        </r>
        <r>
          <rPr>
            <sz val="9"/>
            <color indexed="81"/>
            <rFont val="Tahoma"/>
            <charset val="1"/>
          </rPr>
          <t xml:space="preserve">
</t>
        </r>
      </text>
    </comment>
    <comment ref="B13" authorId="1" shapeId="0">
      <text>
        <r>
          <rPr>
            <sz val="9"/>
            <color indexed="81"/>
            <rFont val="Tahoma"/>
            <charset val="1"/>
          </rPr>
          <t xml:space="preserve">3.3.10.7.6.1 “Construção de Edifícios” enquadram-se:
 a construção e reforma de edifícios, unidades habitacionais, escolas, hospitais, hotéis, restaurantes, armazéns e depósitos, edifícios para uso agropecuário, estações para trens e metropolitanos, estádios esportivos e quadras cobertas, instalações para embarque e desembarque de passageiros (em aeroportos, rodoviárias, portos, entre outros), penitenciárias e presídios, a construção de edifícios industriais (fábricas, oficinas, galpões industriais, entre outros), conforme classificação 4120-4 do CNAE 2.0;
 pórticos, mirantes e outros edifícios de finalidade turística.
3.3.10.7.6.2 “Construção de Rodovias e Ferrovias” enquadram-se:
 a construção e recuperação de autoestradas, rodovias e outras vias não urbanas para passagem de veículos, vias férreas de superfície ou subterrâneas (inclusive para metropolitanos), pistas de aeroportos;
 a pavimentação de autoestradas, rodovias e outras vias não urbanas, construção de pontes, viadutos e túneis, a instalação de barreiras acústicas, a construção de praças de pedágio, a sinalização com pintura em rodovias e aeroportos, a instalação de placas de sinalização de tráfego e semelhantes, conforme classificação 4211-1 do CNAE 2.0;
 a construção, pavimentação e sinalização de vias urbanas, ruas e locais para estacionamento de veículos, a construção de praças, pista de atletismo, campos de futebol e calçadas para pedestres, elevados, passarelas e ciclovias, metrô e VLT.
3.3.10.7.6.3 “Construção de Redes de Abastecimento de Água, Coleta de Esgoto e Construções Correlatas” enquadram-se:
 a construção de sistemas para o abastecimento de água tratada - reservatórios de distribuição, estações elevatórias de bombeamento, linhas principais de adução de longa e média distância e redes de distribuição de água, a construção de redes de coleta de esgoto, inclusive de interceptores, estações de tratamento de esgoto (ETE), estações de bombeamento de esgoto (EBE), a construção de galerias pluviais (obras de micro e macrodrenagem);
 as obras de irrigação (canais), a manutenção de redes de abastecimento de água tratada, a manutenção de redes de coleta e de sistemas de tratamento de esgoto, conforme classificação 4222-7 do CNAE 2.0;
 a construção de estações de tratamento de água (ETA).
3.3.10.7.6.4 “Construção e Manutenção de Estações e Redes de Distribuição de Energia Elétrica” enquadram-se:
 a construção de usinas, estações e subestações hidrelétricas, eólicas, nucleares, termoelétricas, a construção de redes de transmissão e distribuição de energia elétrica, inclusive o serviço de eletrificação rural;
 a construção de redes de eletrificação para ferrovias e metropolitano, conforme classificação 4221-9/02 do CNAE 2.0;
 a manutenção de redes de distribuição de energia elétrica, quando executada por empresa não produtora ou distribuidora de energia elétrica, conforme classificação 4221-9/03 do CNAE 2.0;
 obras de iluminação pública e a construção de barragens e represas para geração de energia elétrica.
3.3.10.7.6.5 Para o tipo de obra “Portuárias, Marítimas e Fluviais” enquadram-se:
 obras marítimas e fluviais, tais como, construção de instalações portuárias, construção de portos e marinas, construção de eclusas e canais de navegação (vias navegáveis), enrrocamentos, obras de dragagem, aterro hidráulico, barragens, represas e diques, exceto para energia elétrica, a construção de emissários submarinos, a instalação de cabos submarinos, conforme classificação 4291-0 do CNAE 2.0;
 a construção de píeres e outras obras com influência direta de cursos d’água.
</t>
        </r>
      </text>
    </comment>
    <comment ref="C17" authorId="2" shapeId="0">
      <text>
        <r>
          <rPr>
            <sz val="10"/>
            <color indexed="81"/>
            <rFont val="Tahoma"/>
          </rPr>
          <t>ADMINISTRAÇÃO CENTRAL
Diretoria e secretarias
Suprimentos  e Compras
Financeiro, incluindo Tesouraria e Contabilidade
Jurídico
Recursos Humanos
Planejamento e Orçamentos
Comercial
Apoio e Deposito
Despesas de instalação do Escritório Central
Seguros do Escritório Central e Deposito
Taxas para funcionamento
Material de consumo (limpeza, higiene, escritório).
Consumo de energia, água, telefone etc.
Estes custos incidem na obra, pois a operação de uma empresa que tem em sua sede, uma estrutura montada para atender TODAS as obras em andamento é um custo que deverá ser reembolsado pela obra.
A valoração destes custos deveria ser enfocada em função do faturamento anual da empresa, porém nem sempre estes dados estão disponíveis no momento de estabelecer-se o DI.
 Desta forma, usualmente rateia-se os custos acima do escritório central para a obra.  
Varia de empresa para empresa. Quando não é levantado são sugeridos valores entre 2% e 8% sobre o custo direto de produção (CD).</t>
        </r>
      </text>
    </comment>
    <comment ref="C18" authorId="2" shapeId="0">
      <text>
        <r>
          <rPr>
            <sz val="10"/>
            <color indexed="81"/>
            <rFont val="Tahoma"/>
            <family val="2"/>
          </rPr>
          <t xml:space="preserve">Compreende os imprevistos que são ocasionados na obra, feriados extraordinários, substituição de materiais por outros de melhor qualidade, etc.
TIPOS DE IMPREVISTOS
FORÇA MAIOR: 
NATURAIS:ENCHENTES, RAIOS, VENDAVAIS
ECONÔMICOS:CRIAÇAO DE NOVOS IMPOSTOS, JORNADAS DE TRABALHO DIFERENTES
SÓCIO-POLÍTICOS: GREVES, GUERRAS, SAQUES
DE PREVISIBILIDADE RELATIVA:
NATURAIS:CHEIAS, CHUVAS
ECONÔMICOS:ATRASO DE PAGAMENTO, AUMENTO DA INFLAÇÃO, ATRASOS DE TERCEIROS
HUMANOS: VARIAÇÕES DE PRODUTIVIDADE, INTERRUPÇÕES DE TRABALHO, ACORDOS JUDICIAIS DE QUESTÕES TRABALHISTAS
ALEATÓRIOS:
DE DIFÍCIL PREVISÃO, TAIS COMO ACIDENTES, SUBSTITUIÇÕES DE MATERIAIS, FURTOS, PERDA DE MATERIAL POR VANDALISMO, ETC.
</t>
        </r>
        <r>
          <rPr>
            <sz val="10"/>
            <color indexed="81"/>
            <rFont val="Tahoma"/>
          </rPr>
          <t xml:space="preserve">
</t>
        </r>
      </text>
    </comment>
    <comment ref="C20" authorId="2" shapeId="0">
      <text>
        <r>
          <rPr>
            <sz val="10"/>
            <color indexed="81"/>
            <rFont val="Tahoma"/>
          </rPr>
          <t xml:space="preserve">Remuneração de recursos investidos pelo contratado na execução da obra em benefício de contratante.
Se o contratante não dá um adiantamento para o início da obra, o contratado deverá investir um capital sobre o qual terá uma despesa financeira correspondente ao prazo entre o desembolso e o recebimento (consideramos 30 dias).
 É sugerido adotar o valor dos rendimentos do CDB. 
</t>
        </r>
      </text>
    </comment>
    <comment ref="C22" authorId="2" shapeId="0">
      <text>
        <r>
          <rPr>
            <sz val="10"/>
            <color indexed="81"/>
            <rFont val="Tahoma"/>
            <family val="2"/>
          </rPr>
          <t>O lucro de uma determinada obra é o resultado financeiro positivo resultante da diferença entre todas as receitas e das despesas da obra.
Este valor, após o recolhimento do Imposto de renda é o lucro da Empresa, ou sua remuneração.</t>
        </r>
        <r>
          <rPr>
            <b/>
            <sz val="10"/>
            <color indexed="81"/>
            <rFont val="Tahoma"/>
          </rPr>
          <t xml:space="preserve">
</t>
        </r>
      </text>
    </comment>
    <comment ref="C26" authorId="2" shapeId="0">
      <text>
        <r>
          <rPr>
            <sz val="10"/>
            <color indexed="81"/>
            <rFont val="Tahoma"/>
          </rPr>
          <t>Referem-se aos tributos ou impostos cobrados sobre a receita total da obra e compreendem os impostos citados nas colunas abaixo.
Segundo recomendação do TCU (Tribunal de Contas da União) o IRPJ (Imposto de Renda Pessoa Jurídica) e CSLL (Contribuição Social Sobre o Lucro Líquido) não devem ser incluídos nos orçamentos de obras, já que estão relacionados com o desempenho financeiro da empresa e não com a execução do serviço de construção civil que está sendo orçado.</t>
        </r>
      </text>
    </comment>
    <comment ref="C31" authorId="2" shapeId="0">
      <text>
        <r>
          <rPr>
            <sz val="10"/>
            <color indexed="81"/>
            <rFont val="Tahoma"/>
          </rPr>
          <t>COFINS (Contribuição para Financiamento da Seguridade Socia Financia a seguridade social pelo sistema S (SESC, SESI, SENAC, SENAI, SEST, SENAT, SENAR E SEBRAE).</t>
        </r>
      </text>
    </comment>
    <comment ref="C32" authorId="2" shapeId="0">
      <text>
        <r>
          <rPr>
            <sz val="10"/>
            <color indexed="81"/>
            <rFont val="Tahoma"/>
          </rPr>
          <t xml:space="preserve">PIS (Programa de Integração Social) - 0,65% : Financia o pagamento do seguro desemprego e do abono dos trabalhadores que ganham até dois salários mínimos, bem como o financiamento de  programas de desenvolvimento econômico.
</t>
        </r>
      </text>
    </comment>
  </commentList>
</comments>
</file>

<file path=xl/sharedStrings.xml><?xml version="1.0" encoding="utf-8"?>
<sst xmlns="http://schemas.openxmlformats.org/spreadsheetml/2006/main" count="1509" uniqueCount="448">
  <si>
    <t>PLANILHA ORÇAMENTÁRIA</t>
  </si>
  <si>
    <t>REF.</t>
  </si>
  <si>
    <t>FONTE</t>
  </si>
  <si>
    <t>CÓDIGO</t>
  </si>
  <si>
    <t>Item</t>
  </si>
  <si>
    <t>Serviços</t>
  </si>
  <si>
    <t>Unid.</t>
  </si>
  <si>
    <t>Quant.</t>
  </si>
  <si>
    <t>Total</t>
  </si>
  <si>
    <t>SERVIÇOS PRELIMINARES</t>
  </si>
  <si>
    <t>1.1</t>
  </si>
  <si>
    <t>Barracão para escritório com sanitário área de 14.50 m2, de chapa de compens. 12mm e pontalete 8x8cm, piso cimentado e cobertura de telha de fibroc. 6mm, incl. ponto de luz e cx. de inspeção, conf. projeto (1 utilização)</t>
  </si>
  <si>
    <t>IOPES</t>
  </si>
  <si>
    <t>m²</t>
  </si>
  <si>
    <t>Unit.  S/BDI (R$)</t>
  </si>
  <si>
    <t>Unit. C/ BDI (R$)</t>
  </si>
  <si>
    <t>1.2</t>
  </si>
  <si>
    <t>un.</t>
  </si>
  <si>
    <t>1.3</t>
  </si>
  <si>
    <t>74077/003</t>
  </si>
  <si>
    <t>SINAPI</t>
  </si>
  <si>
    <t>Locacao Convencional De Obra, Através De Gabarito De Tabuas Corridas Pontaletadas, Com Reaproveitamento De 3 Vezes.</t>
  </si>
  <si>
    <t>1.4</t>
  </si>
  <si>
    <t>Placa De Obra Em Chapa De Aco Galvanizado</t>
  </si>
  <si>
    <t>1.5</t>
  </si>
  <si>
    <t>74209/001</t>
  </si>
  <si>
    <t>MOVIMENTAÇÃO DE TERRA</t>
  </si>
  <si>
    <t>2.1</t>
  </si>
  <si>
    <t>Preparo, regularização e compactação do terreno (compactador manual) para execução de piso de quadra</t>
  </si>
  <si>
    <t>INFRA-ESTRUTURA</t>
  </si>
  <si>
    <t>3.1</t>
  </si>
  <si>
    <t>Estaca pré-moldada de concreto, seção quadrada, capacidade de 25 toneladas, comprimento total cravado acima de 12m, bate-estacas por gravidade sobre rolos. (Exclusive mobilização e Desmobilização).</t>
  </si>
  <si>
    <t>m</t>
  </si>
  <si>
    <t>SUPERESTRUTURA</t>
  </si>
  <si>
    <t>4.1</t>
  </si>
  <si>
    <t>Estrut. metálica p/ quadra poliesp. coberta constituída por perfis formados a frio, aço estrutural ASTM A-570 G33 (terças)
ASTM A-36 (demais perfis) c/ o sistema de trat. e pint conf descrito em notas da planilha</t>
  </si>
  <si>
    <t>kg</t>
  </si>
  <si>
    <t>VEDAÇÃO</t>
  </si>
  <si>
    <t>5.1</t>
  </si>
  <si>
    <t>Alvenaria de vedação de blocos cerâmicos furados na vertical de 14x19x39cm (Espessura 14cm) de paredes com Área líquida manor que 6m² sem vãos e argamassa de assentamento com preparo em betoneira.</t>
  </si>
  <si>
    <t>ESQUADRIAS</t>
  </si>
  <si>
    <t>6.1</t>
  </si>
  <si>
    <t>Guarda-corpo em tubo de aço galvanizado 1 1/2"</t>
  </si>
  <si>
    <t>COBERTURA</t>
  </si>
  <si>
    <t>7.1</t>
  </si>
  <si>
    <t>INSTALAÇÕES ELÉTRICAS</t>
  </si>
  <si>
    <t>8.1</t>
  </si>
  <si>
    <t>74131/004</t>
  </si>
  <si>
    <t>8.2</t>
  </si>
  <si>
    <t>74130/001</t>
  </si>
  <si>
    <t>Disjuntor termomagnético bipolar padrão Din 10 a 30A 240V, Fornecimento e Instalação</t>
  </si>
  <si>
    <t>8.3</t>
  </si>
  <si>
    <t>74130/002</t>
  </si>
  <si>
    <t>Disjuntor termomagnético tripolar padrão Din 35 a 50A 240V, Fornecimento e Instalação</t>
  </si>
  <si>
    <t>8.4</t>
  </si>
  <si>
    <t>8.5</t>
  </si>
  <si>
    <t>Ponto de iluminação residencial incluindo interruptor simples, caixa elétrica, eletroduto, cabo, rasgo, quabra e chumbamento (Excluindo luminária e Lâmpada)</t>
  </si>
  <si>
    <t>INSTALAÇÕES HIDROSSANITÁRIAS</t>
  </si>
  <si>
    <t>9.1</t>
  </si>
  <si>
    <t>9.2</t>
  </si>
  <si>
    <t>Tubo PVC Rígido para esgoto no diâmetro de 100mm incluindo escavação e aterro com areia</t>
  </si>
  <si>
    <t>INSTALAÇÃO DE COMBATE A INCÊNDIO</t>
  </si>
  <si>
    <t>10.1</t>
  </si>
  <si>
    <t>10.2</t>
  </si>
  <si>
    <t>73775/001</t>
  </si>
  <si>
    <t>Extintor Incêndio TP Pó Quimico 4kg, Fornecimento e Colocação</t>
  </si>
  <si>
    <t>10.3</t>
  </si>
  <si>
    <t>REVESTIMENTO</t>
  </si>
  <si>
    <t>11.1</t>
  </si>
  <si>
    <t>Chapisco com argamassa de cimento e areia média ou grossa sem peneirar no traço 1:3, espessura 5 mm</t>
  </si>
  <si>
    <t>11.2</t>
  </si>
  <si>
    <t>Reboco tipo paulista com argamassa de cimento, cal hidratada CH1 e areia no traço 1:0,5:6, espessura 25mm</t>
  </si>
  <si>
    <t>Piso em Granilite, Marmorite ou Granitina Espessura 8mm, incluso Juntas de dilatação plasticas</t>
  </si>
  <si>
    <t>PAVIMENTAÇÃO</t>
  </si>
  <si>
    <t>12.1</t>
  </si>
  <si>
    <t>12.2</t>
  </si>
  <si>
    <t>Piso em concreto 20MPa preparo mecânico, espessura 7cm, com armação em tela Soldada</t>
  </si>
  <si>
    <t>12.3</t>
  </si>
  <si>
    <t>PINTURA</t>
  </si>
  <si>
    <t>13.1</t>
  </si>
  <si>
    <t>Pintura com tinta acrílica Suvinil, Coral ou Metalatex, inclusive selador acrílico, em paredes externas a três demãos</t>
  </si>
  <si>
    <t>13.2</t>
  </si>
  <si>
    <t>Pintura acrílica de faixas de demarcação em quadra poliesportiva, 5cm</t>
  </si>
  <si>
    <t>COMPLEMENTAÇÃO DA OBRA</t>
  </si>
  <si>
    <t>14.1</t>
  </si>
  <si>
    <t>Limpeza final da obra</t>
  </si>
  <si>
    <t>14.2</t>
  </si>
  <si>
    <t>Trave para futebol de salão de tubo de ferro galvanizado 3'', com recuo, removível, dimensoes oficiais 3x2m</t>
  </si>
  <si>
    <t>14.3</t>
  </si>
  <si>
    <t>Conjunto de poste de voleibol de tubo de ferro galvanizado 3"e parte móvel de 21/2", inclusive carretilha, furo com tubo de ferro galvanizado de 31/2"e tampão de furo</t>
  </si>
  <si>
    <t>14.4</t>
  </si>
  <si>
    <t>74244/001</t>
  </si>
  <si>
    <t>Alambrado para quadra poliesportiva, estruturado por tubos de aço galvanizado, com costura, Din 2440, Diâmetro 2'', com tela de arame galvanizado, fio 14 BWG e malha quadrada 5x5cm</t>
  </si>
  <si>
    <t>Rede de proteção em nylon malha 10x10cm para proteção de quadra de esportes (atrás das traves)</t>
  </si>
  <si>
    <t>Rede para futebol de salão</t>
  </si>
  <si>
    <t>Rede para voleibol com malha grossa, faixas de lona superior e inferior</t>
  </si>
  <si>
    <t>TOTAL GERAL</t>
  </si>
  <si>
    <r>
      <t>Serviço:</t>
    </r>
    <r>
      <rPr>
        <sz val="12"/>
        <color theme="1"/>
        <rFont val="Century Gothic"/>
        <family val="2"/>
      </rPr>
      <t xml:space="preserve"> Construção de uma Quadra Poliesportiva.</t>
    </r>
  </si>
  <si>
    <r>
      <t>Local:</t>
    </r>
    <r>
      <rPr>
        <sz val="12"/>
        <color theme="1"/>
        <rFont val="Century Gothic"/>
        <family val="2"/>
      </rPr>
      <t xml:space="preserve"> Itarana-ES</t>
    </r>
  </si>
  <si>
    <r>
      <t>Referêncial de preço:</t>
    </r>
    <r>
      <rPr>
        <sz val="12"/>
        <color theme="1"/>
        <rFont val="Century Gothic"/>
        <family val="2"/>
      </rPr>
      <t xml:space="preserve"> SINAPI/IOPES</t>
    </r>
  </si>
  <si>
    <r>
      <t>Contratante:</t>
    </r>
    <r>
      <rPr>
        <sz val="12"/>
        <color theme="1"/>
        <rFont val="Century Gothic"/>
        <family val="2"/>
      </rPr>
      <t xml:space="preserve"> Prefeitura Municipal de Itarana</t>
    </r>
  </si>
  <si>
    <t>Descrição dos serviços</t>
  </si>
  <si>
    <t>Valor (R$)</t>
  </si>
  <si>
    <t>% do Item</t>
  </si>
  <si>
    <t>VALORES TOTAIS</t>
  </si>
  <si>
    <t>Total Parcial (R$)</t>
  </si>
  <si>
    <t>Total Acumulado (R$)</t>
  </si>
  <si>
    <t>Total parcial (%)</t>
  </si>
  <si>
    <t>Total acumulado (%)</t>
  </si>
  <si>
    <t>-</t>
  </si>
  <si>
    <t>7.2</t>
  </si>
  <si>
    <t>3.2</t>
  </si>
  <si>
    <t>FUNDAÇÃO</t>
  </si>
  <si>
    <t>3.2.1</t>
  </si>
  <si>
    <t>Lastro de concreto não estrutural, espessura de 6 cm</t>
  </si>
  <si>
    <t>3.2.2</t>
  </si>
  <si>
    <t>Fôrma de chapa compensada resinada 12mm, levando-se em conta a utilização 3 vezes (incluido o material, corte, montagem, escoramento e desfôrma)</t>
  </si>
  <si>
    <t>3.2.3</t>
  </si>
  <si>
    <t>Armação de Bloco, Viga Baldrame ou sapata utilizando Aço CA-50 de 8mm</t>
  </si>
  <si>
    <t>3.2.4</t>
  </si>
  <si>
    <t>Concreto FCK = 25MPA, Traço 1:2,3:2,7 (Cimento/ Areia / Média / Brita 1)</t>
  </si>
  <si>
    <t>m³</t>
  </si>
  <si>
    <t>3.2.5</t>
  </si>
  <si>
    <t>Lançamento com uso de baldes, adensamento e acabamento de Concreto</t>
  </si>
  <si>
    <t>PLANILHA QUANTITATIVA</t>
  </si>
  <si>
    <t>Comprim.</t>
  </si>
  <si>
    <t>Altura</t>
  </si>
  <si>
    <t>Área</t>
  </si>
  <si>
    <t>Largura</t>
  </si>
  <si>
    <t>Und</t>
  </si>
  <si>
    <t>Coeficiente</t>
  </si>
  <si>
    <t>Cumeira em perfil ondulado de alumínio</t>
  </si>
  <si>
    <t>7.3</t>
  </si>
  <si>
    <t>INSTALAÇÕES DE COMBATE A INCÊNDIO</t>
  </si>
  <si>
    <t>PAVIENTAÇÃO</t>
  </si>
  <si>
    <t>CRONOGRAMA FÍSICO-FINANCEIRO</t>
  </si>
  <si>
    <t>Descrição</t>
  </si>
  <si>
    <t>Barracão para almoxarifado área de 10.90m2, de chapa de compensado de 12mm e pontalete 8x8cm, piso cimentado e cobertura de telhas de fibrocimento de 6mm, incl. ponto de luz, conf. projeto (1 utilização)</t>
  </si>
  <si>
    <t>ATUALIZADO</t>
  </si>
  <si>
    <t>A área de locação da obra, através de gabarito faz jus a área real de intervenção da quadra poliesportiva, ou seja, 533,02m².</t>
  </si>
  <si>
    <t>2.0</t>
  </si>
  <si>
    <t>3.0</t>
  </si>
  <si>
    <t>Estaca - Pilares dos cantos</t>
  </si>
  <si>
    <t>Estaca - Pilares centrais</t>
  </si>
  <si>
    <t>Volume</t>
  </si>
  <si>
    <t>4.0</t>
  </si>
  <si>
    <t>Conferir e Tabela Resumo de Aço, bem como na memória de cálculo.</t>
  </si>
  <si>
    <t>5.0</t>
  </si>
  <si>
    <t>Rampa e escada de acesso à edificação existente (conforme projeto).</t>
  </si>
  <si>
    <t>6.0</t>
  </si>
  <si>
    <t>7.0</t>
  </si>
  <si>
    <t>Conforme o projeto (Planta de cobertura) o telhado possui uma geometria trapezoidal retângular e foi aplicada a fórmula A=((B+b)*h/2) para determinar a área.</t>
  </si>
  <si>
    <t>Direita da edificação.</t>
  </si>
  <si>
    <t>Esquerda da edificação.</t>
  </si>
  <si>
    <t>8.0</t>
  </si>
  <si>
    <t>9.0</t>
  </si>
  <si>
    <t>Tubo enterrado.</t>
  </si>
  <si>
    <t>Tubo de queda.</t>
  </si>
  <si>
    <t>10.0</t>
  </si>
  <si>
    <t>11.0</t>
  </si>
  <si>
    <t>12.4</t>
  </si>
  <si>
    <t>12.5</t>
  </si>
  <si>
    <t>12.6</t>
  </si>
  <si>
    <t>Calçada 01 - Conforme Projeto</t>
  </si>
  <si>
    <t>Calçada 02 - Conforme Projeto</t>
  </si>
  <si>
    <t>Fornecimento e assentamento de ladrilho hidráulico pastilhado, vermelho, dim. 20x20 cm, esp. 1.5cm, assentado com pasta de cimento colante, exclusive regularização e lastro</t>
  </si>
  <si>
    <t>13.0</t>
  </si>
  <si>
    <t>14.0</t>
  </si>
  <si>
    <t>Luminária de emergência - Fornecimento e Instalação. AF_11/2017</t>
  </si>
  <si>
    <r>
      <rPr>
        <b/>
        <i/>
        <sz val="12"/>
        <color theme="1"/>
        <rFont val="Calibri"/>
        <family val="2"/>
        <scheme val="minor"/>
      </rPr>
      <t>Obs.:</t>
    </r>
    <r>
      <rPr>
        <i/>
        <sz val="12"/>
        <color theme="1"/>
        <rFont val="Calibri"/>
        <family val="2"/>
        <scheme val="minor"/>
      </rPr>
      <t xml:space="preserve"> Nos cálculos acima, foi utilizado um coeficiente de 1,013710934 para chegar na área real da cobertura.</t>
    </r>
  </si>
  <si>
    <r>
      <t>Obs.:</t>
    </r>
    <r>
      <rPr>
        <i/>
        <sz val="12"/>
        <color theme="1"/>
        <rFont val="Calibri"/>
        <family val="2"/>
        <scheme val="minor"/>
      </rPr>
      <t xml:space="preserve"> Para determinação dos cálculos acima, foram utilizadas as informações encontradas no Projeto Elétrico.</t>
    </r>
  </si>
  <si>
    <r>
      <rPr>
        <b/>
        <i/>
        <sz val="12"/>
        <color theme="1"/>
        <rFont val="Calibri"/>
        <family val="2"/>
        <scheme val="minor"/>
      </rPr>
      <t xml:space="preserve">Obs. 2: </t>
    </r>
    <r>
      <rPr>
        <i/>
        <sz val="12"/>
        <color theme="1"/>
        <rFont val="Calibri"/>
        <family val="2"/>
        <scheme val="minor"/>
      </rPr>
      <t>Os itens de pavimentação acima não contemplam as calçadas.</t>
    </r>
  </si>
  <si>
    <r>
      <t>Obs.:</t>
    </r>
    <r>
      <rPr>
        <i/>
        <sz val="12"/>
        <color theme="1"/>
        <rFont val="Calibri"/>
        <family val="2"/>
        <scheme val="minor"/>
      </rPr>
      <t xml:space="preserve"> Foi considerada a área de internção encontrada no levantamento planialtimétrico.</t>
    </r>
  </si>
  <si>
    <r>
      <rPr>
        <b/>
        <i/>
        <sz val="12"/>
        <color theme="1"/>
        <rFont val="Calibri"/>
        <family val="2"/>
        <scheme val="minor"/>
      </rPr>
      <t>Obs.:</t>
    </r>
    <r>
      <rPr>
        <i/>
        <sz val="12"/>
        <color theme="1"/>
        <rFont val="Calibri"/>
        <family val="2"/>
        <scheme val="minor"/>
      </rPr>
      <t xml:space="preserve"> Será instalada a rede de proteção fixada no tirante da cobertura metálica, até o chão da quadra.</t>
    </r>
  </si>
  <si>
    <t>BDI:</t>
  </si>
  <si>
    <t>DETALHAMENTO DO BDI</t>
  </si>
  <si>
    <t>PROPONENTE:</t>
  </si>
  <si>
    <t>Prefeitura Municipal de Itarana</t>
  </si>
  <si>
    <t>OBRA:</t>
  </si>
  <si>
    <t>Construção de uma Quadra Poliesportiva</t>
  </si>
  <si>
    <t>CONTRATO:</t>
  </si>
  <si>
    <t>1. Regime de Contribuição Previdenciária</t>
  </si>
  <si>
    <t>Com Desoneração</t>
  </si>
  <si>
    <t>2. Tipo de Intervenção</t>
  </si>
  <si>
    <t>Edificações</t>
  </si>
  <si>
    <t>3. Incidências sobre o custo</t>
  </si>
  <si>
    <r>
      <t>Administração Central -</t>
    </r>
    <r>
      <rPr>
        <b/>
        <sz val="10"/>
        <rFont val="Arial"/>
        <family val="2"/>
      </rPr>
      <t xml:space="preserve"> AC</t>
    </r>
  </si>
  <si>
    <t>%</t>
  </si>
  <si>
    <r>
      <t>Riscos -</t>
    </r>
    <r>
      <rPr>
        <b/>
        <sz val="10"/>
        <rFont val="Arial"/>
        <family val="2"/>
      </rPr>
      <t xml:space="preserve"> R</t>
    </r>
  </si>
  <si>
    <r>
      <t>Seguros e Garantias Contratuais -</t>
    </r>
    <r>
      <rPr>
        <b/>
        <sz val="10"/>
        <rFont val="Arial"/>
        <family val="2"/>
      </rPr>
      <t xml:space="preserve"> S+G</t>
    </r>
  </si>
  <si>
    <r>
      <t xml:space="preserve">Despesas e Encargos Financeiros - </t>
    </r>
    <r>
      <rPr>
        <b/>
        <sz val="10"/>
        <rFont val="Arial"/>
        <family val="2"/>
      </rPr>
      <t>DF</t>
    </r>
  </si>
  <si>
    <r>
      <t>Lucro -</t>
    </r>
    <r>
      <rPr>
        <b/>
        <sz val="10"/>
        <rFont val="Arial"/>
        <family val="2"/>
      </rPr>
      <t xml:space="preserve"> L</t>
    </r>
  </si>
  <si>
    <t>4 – Incidências sobre o preço de venda</t>
  </si>
  <si>
    <t>Despesas Tributárias - I</t>
  </si>
  <si>
    <t>Percentual da base de cálculo para o ISS:</t>
  </si>
  <si>
    <t>Alíquota do ISS (sobre a base de cálculo):</t>
  </si>
  <si>
    <t>COFINS</t>
  </si>
  <si>
    <t>PIS</t>
  </si>
  <si>
    <t>INSS</t>
  </si>
  <si>
    <t>5 – Demonstrativo de cálculo do BDI</t>
  </si>
  <si>
    <r>
      <t xml:space="preserve">BDI=    </t>
    </r>
    <r>
      <rPr>
        <u/>
        <sz val="10"/>
        <rFont val="Arial"/>
        <family val="2"/>
      </rPr>
      <t>(1+(AC+S+R+G))(1+DF)(1+L))</t>
    </r>
    <r>
      <rPr>
        <sz val="10"/>
        <rFont val="Arial"/>
        <family val="2"/>
      </rPr>
      <t xml:space="preserve">  -1 =</t>
    </r>
  </si>
  <si>
    <t>( 1- I )</t>
  </si>
  <si>
    <t>Declaro para os devidos fins que, conforme legislação tributária municipal, a base de cálculo</t>
  </si>
  <si>
    <t xml:space="preserve">Declaro para os devidos fins que o regime de Contribuição Previdenciária adotado para </t>
  </si>
  <si>
    <t xml:space="preserve">a Administração Pública.    </t>
  </si>
  <si>
    <t>Engenheiro</t>
  </si>
  <si>
    <t>Igor Alves Folador Dominicini</t>
  </si>
  <si>
    <t>CREA/CAU:</t>
  </si>
  <si>
    <t>ES-043213/D</t>
  </si>
  <si>
    <t>Responsável Tomador</t>
  </si>
  <si>
    <t>Nome</t>
  </si>
  <si>
    <t>Ademar Schneider</t>
  </si>
  <si>
    <t>Cargo</t>
  </si>
  <si>
    <t>Prefeito Municipal</t>
  </si>
  <si>
    <t>Conforme o projeto (Estrutural - Piso) o piso da quadra possui uma geometria trapezoidal retângular e foi aplicada a fórmula A=((B+b)*h/2) para determinar a área.</t>
  </si>
  <si>
    <r>
      <rPr>
        <b/>
        <i/>
        <sz val="12"/>
        <color theme="1"/>
        <rFont val="Calibri"/>
        <family val="2"/>
        <scheme val="minor"/>
      </rPr>
      <t>Obs.:</t>
    </r>
    <r>
      <rPr>
        <i/>
        <sz val="12"/>
        <color theme="1"/>
        <rFont val="Calibri"/>
        <family val="2"/>
        <scheme val="minor"/>
      </rPr>
      <t xml:space="preserve"> Nos cálculos acima, foi utilizado um coeficiente de 0,98649821 para chegar na área real do piso da quadra.</t>
    </r>
  </si>
  <si>
    <r>
      <t>Local:</t>
    </r>
    <r>
      <rPr>
        <sz val="12"/>
        <color theme="1"/>
        <rFont val="Century Gothic"/>
        <family val="2"/>
      </rPr>
      <t xml:space="preserve"> Rodovia José Cupertino F. Leite, Baixo Sossego, Itarana-ES</t>
    </r>
  </si>
  <si>
    <r>
      <t>Encargos Sociais SINAPI:</t>
    </r>
    <r>
      <rPr>
        <sz val="12"/>
        <color theme="1"/>
        <rFont val="Century Gothic"/>
        <family val="2"/>
      </rPr>
      <t xml:space="preserve"> 89,54% (Hora); 51/04% (Mês).</t>
    </r>
  </si>
  <si>
    <t>ADMINISTRAÇÃO LOCAL</t>
  </si>
  <si>
    <t>15.1</t>
  </si>
  <si>
    <t>Lampada vapor metálico 400W - Fornecimento e instalação</t>
  </si>
  <si>
    <t>Banco de concreto armado aparente com apoios de alvenaria assentada com argamassa de cimento, cal e areia, largura de 0,50m e espessura de 0,05m</t>
  </si>
  <si>
    <t>Bancos de concreto - área técnica</t>
  </si>
  <si>
    <t>TABELA RESUMO</t>
  </si>
  <si>
    <t>Marca</t>
  </si>
  <si>
    <t>Qtde</t>
  </si>
  <si>
    <t>Nome / Perfil</t>
  </si>
  <si>
    <t>Aço</t>
  </si>
  <si>
    <t>Comp. (mm)</t>
  </si>
  <si>
    <t>Peso / Conjunto (kg)</t>
  </si>
  <si>
    <t>Peso / Total (kg)</t>
  </si>
  <si>
    <t>CB.1</t>
  </si>
  <si>
    <t>Chumbador</t>
  </si>
  <si>
    <t>FR.3</t>
  </si>
  <si>
    <t>D12.7</t>
  </si>
  <si>
    <t>A36</t>
  </si>
  <si>
    <t>CV.1</t>
  </si>
  <si>
    <t>Contravento</t>
  </si>
  <si>
    <t>FR.4</t>
  </si>
  <si>
    <t>D6.35</t>
  </si>
  <si>
    <t>CV.2</t>
  </si>
  <si>
    <t>FR.5</t>
  </si>
  <si>
    <t>EST.1</t>
  </si>
  <si>
    <t>Esticador</t>
  </si>
  <si>
    <t>CH.1</t>
  </si>
  <si>
    <t>CH.2</t>
  </si>
  <si>
    <t>CH.3</t>
  </si>
  <si>
    <t>PLT3*70</t>
  </si>
  <si>
    <t>PLT3*67</t>
  </si>
  <si>
    <t>LC.1</t>
  </si>
  <si>
    <t>Linha de Corrente</t>
  </si>
  <si>
    <t>L.1</t>
  </si>
  <si>
    <t>CH.4</t>
  </si>
  <si>
    <t>L50*50*2</t>
  </si>
  <si>
    <t>PLT3*60</t>
  </si>
  <si>
    <t>PT.1</t>
  </si>
  <si>
    <t>Pilar Treliçado</t>
  </si>
  <si>
    <t>U.7</t>
  </si>
  <si>
    <t>U100*50*4.75</t>
  </si>
  <si>
    <t>CH.5</t>
  </si>
  <si>
    <t>PLT9*150</t>
  </si>
  <si>
    <t>CH.6</t>
  </si>
  <si>
    <t>CH.7</t>
  </si>
  <si>
    <t>U.1</t>
  </si>
  <si>
    <t>U.8</t>
  </si>
  <si>
    <t>U.10</t>
  </si>
  <si>
    <t>U.11</t>
  </si>
  <si>
    <t>U.12</t>
  </si>
  <si>
    <t>PLT9*180</t>
  </si>
  <si>
    <t>PLT6.35*100</t>
  </si>
  <si>
    <t>U100*100*6.35</t>
  </si>
  <si>
    <t>U90*25*2.5</t>
  </si>
  <si>
    <t>TC.1</t>
  </si>
  <si>
    <t>Terça de Cobertura</t>
  </si>
  <si>
    <t>CC150-2-20-60</t>
  </si>
  <si>
    <t>TC.2</t>
  </si>
  <si>
    <t>TC.3</t>
  </si>
  <si>
    <t>UE.1</t>
  </si>
  <si>
    <t>UE.2</t>
  </si>
  <si>
    <t>UE.3</t>
  </si>
  <si>
    <t>TC.4</t>
  </si>
  <si>
    <t>UE.4</t>
  </si>
  <si>
    <t>TC.5</t>
  </si>
  <si>
    <t>UE.5</t>
  </si>
  <si>
    <t>TC6.</t>
  </si>
  <si>
    <t>UE.6</t>
  </si>
  <si>
    <t>TC.7</t>
  </si>
  <si>
    <t>UE.7</t>
  </si>
  <si>
    <t>TC.8</t>
  </si>
  <si>
    <t>UE.8</t>
  </si>
  <si>
    <t>TC.9</t>
  </si>
  <si>
    <t>UE.9</t>
  </si>
  <si>
    <t>TC.10</t>
  </si>
  <si>
    <t>UE.10</t>
  </si>
  <si>
    <t>TC.11</t>
  </si>
  <si>
    <t>UE.11</t>
  </si>
  <si>
    <t>TC.12</t>
  </si>
  <si>
    <t>UE.12</t>
  </si>
  <si>
    <t>TC.13</t>
  </si>
  <si>
    <t>UE.13</t>
  </si>
  <si>
    <t>TL.1</t>
  </si>
  <si>
    <t>Tala</t>
  </si>
  <si>
    <t>CH.10</t>
  </si>
  <si>
    <t>PLT4.75*85</t>
  </si>
  <si>
    <t>TR.1</t>
  </si>
  <si>
    <t>Tirante</t>
  </si>
  <si>
    <t>FR.2</t>
  </si>
  <si>
    <t>TR.2</t>
  </si>
  <si>
    <t>FR.1</t>
  </si>
  <si>
    <t>D25.4</t>
  </si>
  <si>
    <t>VT.1</t>
  </si>
  <si>
    <t>Viga Treliçada</t>
  </si>
  <si>
    <t>U.2</t>
  </si>
  <si>
    <t>U100*50*2.66</t>
  </si>
  <si>
    <t>CH.8</t>
  </si>
  <si>
    <t>CH.9</t>
  </si>
  <si>
    <t>PLT2.66*110</t>
  </si>
  <si>
    <t>PLT2.66*99</t>
  </si>
  <si>
    <t>U.3</t>
  </si>
  <si>
    <t>U.4</t>
  </si>
  <si>
    <t>U90*40*3</t>
  </si>
  <si>
    <t>U.5</t>
  </si>
  <si>
    <t>U.6</t>
  </si>
  <si>
    <t>U100*25*2.66</t>
  </si>
  <si>
    <t>U.9</t>
  </si>
  <si>
    <t>Total (kg)</t>
  </si>
  <si>
    <t>SPDA (Sistema de Proteção Contra Descargas Atmosférica)</t>
  </si>
  <si>
    <t>10.3.1</t>
  </si>
  <si>
    <t>10.3.2</t>
  </si>
  <si>
    <t>10.3.3</t>
  </si>
  <si>
    <t>10.3.4</t>
  </si>
  <si>
    <t>10.3.5</t>
  </si>
  <si>
    <t>10.3.6</t>
  </si>
  <si>
    <t>10.3.7</t>
  </si>
  <si>
    <t>10.3.8</t>
  </si>
  <si>
    <t>10.3.9</t>
  </si>
  <si>
    <t>Cordoalha de cobre nu 35mm², não enterrada, com isolador - Fornecimento e instalação. AF_12/2017</t>
  </si>
  <si>
    <t>Haste de Aterramento 5/8 para SPDA - Fornecimento e Instalação. AF_12/2017</t>
  </si>
  <si>
    <t>Terminal aéreo em Aço Galvanizado com base de fixação H = 30CM</t>
  </si>
  <si>
    <t>Eletroduto PVC 40mm (1 ¼ ) para SPDA - Fornecimento e instalação. AF_12/2017</t>
  </si>
  <si>
    <t>Conector de medição em latão com 2 parafusos para cabos de 16 a 50 mm2, ref. TEL-562, Termotécnica ou equivalente</t>
  </si>
  <si>
    <t>Kit completo para solda Exotérmica (Molde HCL 5/8" Ref: TEL905611 / Cartucho n° 115 Ref: TEL 909115 / Alicate Z 201 Ref: TEL 998201), marca de referência Termotécnica ou equivalente</t>
  </si>
  <si>
    <t>Fixador universal latão estanhado p/ cabos 16 a 70 mm2 ref. 5024, incl. parafuso sextavado M6x45mm, arruela lisa 1/4", bucha nº8, vedação dos furos c/ poliuretano ref. 5905, marca de ref. Termotécnica ou equivalente</t>
  </si>
  <si>
    <t>Caixa de inspeção em PVC, diâmetro 300 mm, ref TEL-552, marca de referência Termotécnica ou equivalente, inclusive
escavação e reaterro</t>
  </si>
  <si>
    <t>Curva 90º de barra chata em alumínio 7/8"x1/8"x300mm, 70mm², ref. TEL-778, marca de referência Termotécnica ou
equivalente</t>
  </si>
  <si>
    <t>ADMINISTRATIVO LOCAL</t>
  </si>
  <si>
    <t>UN</t>
  </si>
  <si>
    <t>Coef.</t>
  </si>
  <si>
    <t>Valor Unit</t>
  </si>
  <si>
    <t>COMP.</t>
  </si>
  <si>
    <t xml:space="preserve">ENCARREGADO GERAL COM ENCARGOS COMPLEMENTARES </t>
  </si>
  <si>
    <t>H</t>
  </si>
  <si>
    <t xml:space="preserve">ENGENHEIRO CIVIL DE OBRA PLENO COM ENCARGOS COMPLEMENTARES </t>
  </si>
  <si>
    <t>COMP. 1</t>
  </si>
  <si>
    <t>COMP. 01</t>
  </si>
  <si>
    <t>Administrativo Local</t>
  </si>
  <si>
    <t>15.0</t>
  </si>
  <si>
    <t>16.1</t>
  </si>
  <si>
    <t>15.2</t>
  </si>
  <si>
    <t>15.3</t>
  </si>
  <si>
    <t>15.4</t>
  </si>
  <si>
    <t>15.5</t>
  </si>
  <si>
    <t>15.6</t>
  </si>
  <si>
    <t>15.7</t>
  </si>
  <si>
    <t>15.8</t>
  </si>
  <si>
    <t>16.0</t>
  </si>
  <si>
    <t>ESCADA/RAMPA/PATAMAR</t>
  </si>
  <si>
    <t>14.1.1</t>
  </si>
  <si>
    <t>Fundação - Bloco</t>
  </si>
  <si>
    <t>14.1.2</t>
  </si>
  <si>
    <t>14.1.3</t>
  </si>
  <si>
    <t>14.1.4</t>
  </si>
  <si>
    <t>14.1.5</t>
  </si>
  <si>
    <t>Fundação - Baldrame</t>
  </si>
  <si>
    <t>14.2.1</t>
  </si>
  <si>
    <t>14.2.2</t>
  </si>
  <si>
    <t>14.2.3</t>
  </si>
  <si>
    <t>14.2.4</t>
  </si>
  <si>
    <t>Pilares</t>
  </si>
  <si>
    <t>14.3.1</t>
  </si>
  <si>
    <t>14.3.2</t>
  </si>
  <si>
    <t>14.3.3</t>
  </si>
  <si>
    <t>14.3.4</t>
  </si>
  <si>
    <t>Armação de pilar ou viga de uma estrutura convencional de concreto armado em um edifício de múltiplos pavimentos utilizando aço CA-50 de 8,0mm - Montagem. AF_12/2015</t>
  </si>
  <si>
    <t>Vigas</t>
  </si>
  <si>
    <t>14.4.1</t>
  </si>
  <si>
    <t>14.4.2</t>
  </si>
  <si>
    <t>14.4.3</t>
  </si>
  <si>
    <t>14.4.4</t>
  </si>
  <si>
    <t>Laje</t>
  </si>
  <si>
    <t>Armação de laje de uma estrutura convencional de concreto armado em um edifício de múltiplos pavimentos utilizando aço CA-50 de 8,0mm - Montagem. AF_12/2015</t>
  </si>
  <si>
    <t>Escada</t>
  </si>
  <si>
    <t>Escada em concreto armado, Fck = 15 MPa, MOLDADA IN LOCO</t>
  </si>
  <si>
    <t>Telhamento com telha de aço/alumínio e = 0,5 mm, com até 2 águas, incluso içamento. AF_06/2016</t>
  </si>
  <si>
    <t>10.3.10</t>
  </si>
  <si>
    <t>Cabo de cobre nu 50mm2 - FORNECIMENTO E INSTALACAO</t>
  </si>
  <si>
    <t>14.2.5</t>
  </si>
  <si>
    <t>Armação de pilar ou viga de uma estrutura convencional de concreto armado em uma edificação térrea ou sobrado utilizando aço CA-60 de 5,0 mm - Montagem. AF_12/2015</t>
  </si>
  <si>
    <t>14.3.5</t>
  </si>
  <si>
    <t>14.4.5</t>
  </si>
  <si>
    <t>und</t>
  </si>
  <si>
    <t>Entrada provisória de energia elétrica aerea trifásica 40A em Poste madeira</t>
  </si>
  <si>
    <t>Quadro de distribuição de energia de embutir, em chapa metálica, para 18 disjuntores termomagnéticos monopolares, com barramento trifásico e neutro, fornecimento e instalação.</t>
  </si>
  <si>
    <t>Piso em granito aplicado em ambientes internos. AF_06/2018</t>
  </si>
  <si>
    <t>RESUMO DE ORÇAMENTO</t>
  </si>
  <si>
    <t>LOCAL: ITARANA-ES</t>
  </si>
  <si>
    <t>ORÇAMENTISTA: IGOR ALVES FOLADOR DOMINICINI - CREA: ES- 043213/D</t>
  </si>
  <si>
    <t>ITEM</t>
  </si>
  <si>
    <t>DESCRIÇÃO</t>
  </si>
  <si>
    <t>VALORES (R$)</t>
  </si>
  <si>
    <t>01</t>
  </si>
  <si>
    <t>02</t>
  </si>
  <si>
    <t>03</t>
  </si>
  <si>
    <t>04</t>
  </si>
  <si>
    <t>05</t>
  </si>
  <si>
    <t>06</t>
  </si>
  <si>
    <t>07</t>
  </si>
  <si>
    <t>RESUMO</t>
  </si>
  <si>
    <t>CUSTO TOTAL (R$)</t>
  </si>
  <si>
    <t>ÁREA PROJETADA (M²)</t>
  </si>
  <si>
    <t>CUSTO POR M²</t>
  </si>
  <si>
    <t>Engº Civil Igor Alves Folador Dominicini</t>
  </si>
  <si>
    <t>CREA ES-043213/D</t>
  </si>
  <si>
    <t>08</t>
  </si>
  <si>
    <t>09</t>
  </si>
  <si>
    <t>10</t>
  </si>
  <si>
    <t>11</t>
  </si>
  <si>
    <t>12</t>
  </si>
  <si>
    <t>13</t>
  </si>
  <si>
    <t>14</t>
  </si>
  <si>
    <t>15</t>
  </si>
  <si>
    <t>16</t>
  </si>
  <si>
    <t>SECRETARIA DE ESPORTE, CULTURA E TURISMO</t>
  </si>
  <si>
    <t>OBRA: Construção de uma Quadra Poliesportiva.</t>
  </si>
  <si>
    <r>
      <t>Data base:</t>
    </r>
    <r>
      <rPr>
        <sz val="12"/>
        <color theme="1"/>
        <rFont val="Century Gothic"/>
        <family val="2"/>
      </rPr>
      <t xml:space="preserve"> JUN/2018</t>
    </r>
  </si>
  <si>
    <t>14.5</t>
  </si>
  <si>
    <t>14.6</t>
  </si>
  <si>
    <t>14.5.1</t>
  </si>
  <si>
    <t>14.5.2</t>
  </si>
  <si>
    <t>14.5.3</t>
  </si>
  <si>
    <t>14.5.4</t>
  </si>
  <si>
    <t>14.6.1</t>
  </si>
  <si>
    <t>IMPRESSO</t>
  </si>
  <si>
    <t>NÃO PRECISA</t>
  </si>
  <si>
    <t>Calha em chapa de aço galvanizado número 24, desenvolvimento de 33 cm, Incluso Transporte Vertical. AF_06/2016</t>
  </si>
  <si>
    <t>Fornecimento e assentamento de brita 2-drenos e filtros mm</t>
  </si>
  <si>
    <t>Execução de passeio (calçada) ou piso de concreto com concreto moldado in loco, usinado, acabamento convencional, espessura 8 cm, armado. AF_07/2016</t>
  </si>
  <si>
    <t>Sumidouro retangular, em alvenaria com tijolos cerâmicos maciços, dimensões internas: 0,8 x 1,4 x 3,0 m, área de infiltração: 13,2 m² (para 5 contribuintes). AF_05/2018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</si>
</sst>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0.000"/>
    <numFmt numFmtId="165" formatCode="0.0000"/>
    <numFmt numFmtId="166" formatCode="0.0%"/>
    <numFmt numFmtId="167" formatCode="0.00000000"/>
    <numFmt numFmtId="168" formatCode="&quot;R$&quot;\ #,##0.00"/>
    <numFmt numFmtId="169" formatCode="#,##0.0000"/>
    <numFmt numFmtId="170" formatCode="#,##0.000"/>
    <numFmt numFmtId="171" formatCode="_(* #,##0.00_);_(* \(#,##0.00\);_(* &quot;-&quot;??_);_(@_)"/>
    <numFmt numFmtId="172" formatCode="_(* #,##0.00_);_(* \(#,##0.00\);_(* \-??_);_(@_)"/>
    <numFmt numFmtId="173" formatCode="_-&quot;€ &quot;* #,##0.00_-;&quot;-€ &quot;* #,##0.00_-;_-&quot;€ &quot;* \-??_-;_-@_-"/>
    <numFmt numFmtId="174" formatCode="_(&quot;R$ &quot;* #,##0.00_);_(&quot;R$ &quot;* \(#,##0.00\);_(&quot;R$ &quot;* &quot;-&quot;??_);_(@_)"/>
  </numFmts>
  <fonts count="63" x14ac:knownFonts="1">
    <font>
      <sz val="11"/>
      <color theme="1"/>
      <name val="Calibri"/>
      <family val="2"/>
      <scheme val="minor"/>
    </font>
    <font>
      <sz val="12"/>
      <color theme="1"/>
      <name val="Century Gothic"/>
      <family val="2"/>
    </font>
    <font>
      <b/>
      <sz val="12"/>
      <color theme="1"/>
      <name val="Century Gothic"/>
      <family val="2"/>
    </font>
    <font>
      <sz val="12"/>
      <color indexed="8"/>
      <name val="Century Gothic"/>
      <family val="2"/>
    </font>
    <font>
      <sz val="11"/>
      <color theme="1"/>
      <name val="Calibri"/>
      <family val="2"/>
      <scheme val="minor"/>
    </font>
    <font>
      <b/>
      <sz val="14"/>
      <color theme="1"/>
      <name val="Century Gothic"/>
      <family val="2"/>
    </font>
    <font>
      <b/>
      <sz val="12"/>
      <name val="Arial"/>
      <family val="2"/>
    </font>
    <font>
      <sz val="12"/>
      <color theme="1"/>
      <name val="Calibri"/>
      <family val="2"/>
      <scheme val="minor"/>
    </font>
    <font>
      <b/>
      <sz val="12"/>
      <name val="Calibri"/>
      <family val="2"/>
      <scheme val="minor"/>
    </font>
    <font>
      <sz val="12"/>
      <name val="Calibri"/>
      <family val="2"/>
      <scheme val="minor"/>
    </font>
    <font>
      <i/>
      <sz val="12"/>
      <name val="Calibri"/>
      <family val="2"/>
      <scheme val="minor"/>
    </font>
    <font>
      <b/>
      <sz val="12"/>
      <color theme="1"/>
      <name val="Calibri"/>
      <family val="2"/>
      <scheme val="minor"/>
    </font>
    <font>
      <sz val="12"/>
      <name val="Arial"/>
      <family val="2"/>
    </font>
    <font>
      <i/>
      <sz val="12"/>
      <color theme="1"/>
      <name val="Calibri"/>
      <family val="2"/>
      <scheme val="minor"/>
    </font>
    <font>
      <b/>
      <i/>
      <sz val="12"/>
      <color theme="1"/>
      <name val="Calibri"/>
      <family val="2"/>
      <scheme val="minor"/>
    </font>
    <font>
      <b/>
      <sz val="12"/>
      <color indexed="8"/>
      <name val="Arial"/>
      <family val="2"/>
    </font>
    <font>
      <sz val="12"/>
      <color indexed="8"/>
      <name val="Arial"/>
      <family val="2"/>
    </font>
    <font>
      <b/>
      <sz val="10"/>
      <color indexed="8"/>
      <name val="Arial"/>
      <family val="2"/>
    </font>
    <font>
      <sz val="10"/>
      <color indexed="8"/>
      <name val="Arial"/>
      <family val="2"/>
    </font>
    <font>
      <sz val="8"/>
      <color indexed="8"/>
      <name val="Arial"/>
      <family val="2"/>
    </font>
    <font>
      <sz val="10"/>
      <name val="Arial"/>
    </font>
    <font>
      <b/>
      <sz val="10"/>
      <name val="Arial"/>
      <family val="2"/>
    </font>
    <font>
      <sz val="10"/>
      <name val="Arial"/>
      <family val="2"/>
    </font>
    <font>
      <sz val="3"/>
      <name val="Arial"/>
      <family val="2"/>
    </font>
    <font>
      <b/>
      <sz val="3"/>
      <name val="Arial"/>
      <family val="2"/>
    </font>
    <font>
      <i/>
      <sz val="10"/>
      <name val="Arial"/>
      <family val="2"/>
    </font>
    <font>
      <u/>
      <sz val="10"/>
      <name val="Arial"/>
      <family val="2"/>
    </font>
    <font>
      <sz val="11"/>
      <color indexed="8"/>
      <name val="Calibri"/>
      <family val="2"/>
    </font>
    <font>
      <b/>
      <i/>
      <sz val="14"/>
      <name val="Arial"/>
      <family val="2"/>
    </font>
    <font>
      <b/>
      <sz val="10"/>
      <color indexed="10"/>
      <name val="Arial"/>
      <family val="2"/>
    </font>
    <font>
      <sz val="10"/>
      <color indexed="8"/>
      <name val="Calibri"/>
      <family val="2"/>
    </font>
    <font>
      <sz val="8"/>
      <name val="Arial"/>
      <family val="2"/>
    </font>
    <font>
      <sz val="9"/>
      <name val="Arial"/>
      <family val="2"/>
    </font>
    <font>
      <b/>
      <sz val="9"/>
      <name val="Arial"/>
      <family val="2"/>
    </font>
    <font>
      <sz val="9"/>
      <color indexed="81"/>
      <name val="Segoe UI"/>
      <family val="2"/>
    </font>
    <font>
      <b/>
      <sz val="9"/>
      <color indexed="81"/>
      <name val="Tahoma"/>
      <charset val="1"/>
    </font>
    <font>
      <sz val="9"/>
      <color indexed="81"/>
      <name val="Tahoma"/>
      <charset val="1"/>
    </font>
    <font>
      <sz val="10"/>
      <color indexed="81"/>
      <name val="Tahoma"/>
    </font>
    <font>
      <sz val="10"/>
      <color indexed="81"/>
      <name val="Tahoma"/>
      <family val="2"/>
    </font>
    <font>
      <b/>
      <sz val="10"/>
      <color indexed="81"/>
      <name val="Tahoma"/>
    </font>
    <font>
      <b/>
      <sz val="11"/>
      <color theme="1"/>
      <name val="Calibri"/>
      <family val="2"/>
      <scheme val="minor"/>
    </font>
    <font>
      <sz val="11"/>
      <color rgb="FF000000"/>
      <name val="Calibri"/>
      <family val="2"/>
    </font>
    <font>
      <b/>
      <sz val="8"/>
      <color indexed="8"/>
      <name val="Century Gothic"/>
      <family val="2"/>
    </font>
    <font>
      <sz val="8"/>
      <color indexed="8"/>
      <name val="Century Gothic"/>
      <family val="2"/>
    </font>
    <font>
      <sz val="8"/>
      <name val="Century Gothic"/>
      <family val="2"/>
    </font>
    <font>
      <sz val="11"/>
      <name val="Arial"/>
      <family val="1"/>
    </font>
    <font>
      <sz val="11"/>
      <color indexed="9"/>
      <name val="Calibri"/>
      <family val="2"/>
    </font>
    <font>
      <sz val="8"/>
      <color indexed="8"/>
      <name val="Arial Narrow"/>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b/>
      <sz val="12"/>
      <color rgb="FFFF0000"/>
      <name val="Arial"/>
      <family val="2"/>
    </font>
  </fonts>
  <fills count="3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9"/>
        <bgColor indexed="64"/>
      </patternFill>
    </fill>
    <fill>
      <patternFill patternType="solid">
        <fgColor indexed="26"/>
        <bgColor indexed="64"/>
      </patternFill>
    </fill>
    <fill>
      <patternFill patternType="solid">
        <fgColor indexed="55"/>
        <bgColor indexed="64"/>
      </patternFill>
    </fill>
    <fill>
      <patternFill patternType="solid">
        <fgColor indexed="43"/>
        <bgColor indexed="64"/>
      </patternFill>
    </fill>
    <fill>
      <patternFill patternType="solid">
        <fgColor rgb="FFFF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84">
    <xf numFmtId="0" fontId="0" fillId="0" borderId="0"/>
    <xf numFmtId="9" fontId="4" fillId="0" borderId="0" applyFont="0" applyFill="0" applyBorder="0" applyAlignment="0" applyProtection="0"/>
    <xf numFmtId="43" fontId="4" fillId="0" borderId="0" applyFont="0" applyFill="0" applyBorder="0" applyAlignment="0" applyProtection="0"/>
    <xf numFmtId="0" fontId="20" fillId="0" borderId="0"/>
    <xf numFmtId="9" fontId="27" fillId="0" borderId="0" applyFont="0" applyFill="0" applyBorder="0" applyAlignment="0" applyProtection="0"/>
    <xf numFmtId="9" fontId="20" fillId="0" borderId="0" applyFont="0" applyFill="0" applyBorder="0" applyAlignment="0" applyProtection="0"/>
    <xf numFmtId="0" fontId="27" fillId="0" borderId="0"/>
    <xf numFmtId="0" fontId="41" fillId="0" borderId="0"/>
    <xf numFmtId="0" fontId="45" fillId="0" borderId="0"/>
    <xf numFmtId="0" fontId="22" fillId="0" borderId="0"/>
    <xf numFmtId="171" fontId="22" fillId="0" borderId="0" applyFont="0" applyFill="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0" fontId="46" fillId="21" borderId="0" applyNumberFormat="0" applyBorder="0" applyAlignment="0" applyProtection="0"/>
    <xf numFmtId="0" fontId="46" fillId="18" borderId="0" applyNumberFormat="0" applyBorder="0" applyAlignment="0" applyProtection="0"/>
    <xf numFmtId="0" fontId="46" fillId="19"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8" borderId="0" applyNumberFormat="0" applyBorder="0" applyAlignment="0" applyProtection="0"/>
    <xf numFmtId="0" fontId="47" fillId="0" borderId="6" applyNumberFormat="0" applyFont="0" applyAlignment="0">
      <alignment horizontal="left" vertical="top" indent="1"/>
    </xf>
    <xf numFmtId="0" fontId="48" fillId="12" borderId="0" applyNumberFormat="0" applyBorder="0" applyAlignment="0" applyProtection="0"/>
    <xf numFmtId="0" fontId="49" fillId="29" borderId="26" applyNumberFormat="0" applyAlignment="0" applyProtection="0"/>
    <xf numFmtId="0" fontId="50" fillId="30" borderId="27" applyNumberFormat="0" applyAlignment="0" applyProtection="0"/>
    <xf numFmtId="172" fontId="22" fillId="0" borderId="0" applyFill="0" applyBorder="0" applyAlignment="0" applyProtection="0"/>
    <xf numFmtId="172" fontId="22" fillId="0" borderId="0" applyFill="0" applyBorder="0" applyAlignment="0" applyProtection="0"/>
    <xf numFmtId="173" fontId="22" fillId="0" borderId="0" applyFill="0" applyBorder="0" applyAlignment="0" applyProtection="0"/>
    <xf numFmtId="173" fontId="22" fillId="0" borderId="0" applyFill="0" applyBorder="0" applyAlignment="0" applyProtection="0"/>
    <xf numFmtId="0" fontId="51" fillId="0" borderId="0" applyNumberFormat="0" applyFill="0" applyBorder="0" applyAlignment="0" applyProtection="0"/>
    <xf numFmtId="0" fontId="52" fillId="13" borderId="0" applyNumberFormat="0" applyBorder="0" applyAlignment="0" applyProtection="0"/>
    <xf numFmtId="0" fontId="53" fillId="0" borderId="28" applyNumberFormat="0" applyFill="0" applyAlignment="0" applyProtection="0"/>
    <xf numFmtId="0" fontId="54" fillId="0" borderId="29" applyNumberFormat="0" applyFill="0" applyAlignment="0" applyProtection="0"/>
    <xf numFmtId="0" fontId="55" fillId="0" borderId="30" applyNumberFormat="0" applyFill="0" applyAlignment="0" applyProtection="0"/>
    <xf numFmtId="0" fontId="55" fillId="0" borderId="0" applyNumberFormat="0" applyFill="0" applyBorder="0" applyAlignment="0" applyProtection="0"/>
    <xf numFmtId="0" fontId="56" fillId="16" borderId="26" applyNumberFormat="0" applyAlignment="0" applyProtection="0"/>
    <xf numFmtId="0" fontId="57" fillId="0" borderId="31" applyNumberFormat="0" applyFill="0" applyAlignment="0" applyProtection="0"/>
    <xf numFmtId="174" fontId="27" fillId="0" borderId="0" applyFont="0" applyFill="0" applyBorder="0" applyAlignment="0" applyProtection="0"/>
    <xf numFmtId="0" fontId="58" fillId="31" borderId="0" applyNumberFormat="0" applyBorder="0" applyAlignment="0" applyProtection="0"/>
    <xf numFmtId="0" fontId="22" fillId="0" borderId="0"/>
    <xf numFmtId="0" fontId="4" fillId="0" borderId="0"/>
    <xf numFmtId="0" fontId="4" fillId="0" borderId="0"/>
    <xf numFmtId="0" fontId="4" fillId="0" borderId="0"/>
    <xf numFmtId="0" fontId="4" fillId="0" borderId="0"/>
    <xf numFmtId="0" fontId="4" fillId="0" borderId="0"/>
    <xf numFmtId="0" fontId="22" fillId="0" borderId="0"/>
    <xf numFmtId="0" fontId="4" fillId="0" borderId="0"/>
    <xf numFmtId="0" fontId="22" fillId="32" borderId="32" applyNumberFormat="0" applyFont="0" applyAlignment="0" applyProtection="0"/>
    <xf numFmtId="0" fontId="22" fillId="32" borderId="32" applyNumberFormat="0" applyFont="0" applyAlignment="0" applyProtection="0"/>
    <xf numFmtId="0" fontId="59" fillId="29" borderId="33" applyNumberFormat="0" applyAlignment="0" applyProtection="0"/>
    <xf numFmtId="9" fontId="22" fillId="0" borderId="0" applyFill="0" applyBorder="0" applyAlignment="0" applyProtection="0"/>
    <xf numFmtId="9" fontId="22" fillId="0" borderId="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171" fontId="22" fillId="0" borderId="0" applyFont="0" applyFill="0" applyBorder="0" applyAlignment="0" applyProtection="0"/>
    <xf numFmtId="43" fontId="22" fillId="0" borderId="0" applyFont="0" applyFill="0" applyBorder="0" applyAlignment="0" applyProtection="0"/>
    <xf numFmtId="171" fontId="22" fillId="0" borderId="0" applyFont="0" applyFill="0" applyBorder="0" applyAlignment="0" applyProtection="0"/>
    <xf numFmtId="171" fontId="27" fillId="0" borderId="0" applyFont="0" applyFill="0" applyBorder="0" applyAlignment="0" applyProtection="0"/>
    <xf numFmtId="43" fontId="27" fillId="0" borderId="0" applyFont="0" applyFill="0" applyBorder="0" applyAlignment="0" applyProtection="0"/>
    <xf numFmtId="171" fontId="22" fillId="0" borderId="0" applyFont="0" applyFill="0" applyBorder="0" applyAlignment="0" applyProtection="0"/>
    <xf numFmtId="43" fontId="22"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3" fillId="0" borderId="28" applyNumberFormat="0" applyFill="0" applyAlignment="0" applyProtection="0"/>
    <xf numFmtId="43" fontId="22" fillId="0" borderId="0" applyFont="0" applyFill="0" applyBorder="0" applyAlignment="0" applyProtection="0"/>
    <xf numFmtId="171"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71" fontId="22" fillId="0" borderId="0" applyFont="0" applyFill="0" applyBorder="0" applyAlignment="0" applyProtection="0"/>
    <xf numFmtId="0" fontId="61" fillId="0" borderId="0" applyNumberFormat="0" applyFill="0" applyBorder="0" applyAlignment="0" applyProtection="0"/>
  </cellStyleXfs>
  <cellXfs count="341">
    <xf numFmtId="0" fontId="0" fillId="0" borderId="0" xfId="0"/>
    <xf numFmtId="0" fontId="1" fillId="0" borderId="0" xfId="0" applyFont="1" applyAlignment="1">
      <alignment vertical="center"/>
    </xf>
    <xf numFmtId="0" fontId="1" fillId="4" borderId="0" xfId="0" applyFont="1" applyFill="1" applyAlignment="1">
      <alignment vertical="center"/>
    </xf>
    <xf numFmtId="0" fontId="2" fillId="3" borderId="4" xfId="0" applyFont="1" applyFill="1" applyBorder="1" applyAlignment="1">
      <alignment vertical="center"/>
    </xf>
    <xf numFmtId="0" fontId="1" fillId="3" borderId="0" xfId="0" applyFont="1" applyFill="1" applyAlignment="1">
      <alignment vertical="center"/>
    </xf>
    <xf numFmtId="0" fontId="3" fillId="0" borderId="4" xfId="0" applyFont="1" applyFill="1" applyBorder="1" applyAlignment="1">
      <alignment horizontal="center" vertical="center" wrapText="1"/>
    </xf>
    <xf numFmtId="0" fontId="1" fillId="0" borderId="4" xfId="0" applyFont="1" applyBorder="1" applyAlignment="1">
      <alignment vertical="center" wrapText="1"/>
    </xf>
    <xf numFmtId="4" fontId="1" fillId="0" borderId="4" xfId="0" applyNumberFormat="1" applyFont="1" applyBorder="1" applyAlignment="1">
      <alignment vertical="center"/>
    </xf>
    <xf numFmtId="0" fontId="1" fillId="0" borderId="4" xfId="0" applyFont="1" applyBorder="1" applyAlignment="1">
      <alignment vertical="center"/>
    </xf>
    <xf numFmtId="0" fontId="2" fillId="3" borderId="4" xfId="0" applyFont="1" applyFill="1" applyBorder="1" applyAlignment="1">
      <alignment horizontal="left" vertical="center"/>
    </xf>
    <xf numFmtId="0" fontId="1" fillId="0" borderId="4" xfId="0" applyFont="1" applyBorder="1" applyAlignment="1">
      <alignment horizontal="left" vertical="center" wrapText="1"/>
    </xf>
    <xf numFmtId="0" fontId="1" fillId="2" borderId="0" xfId="0" applyFont="1" applyFill="1" applyAlignment="1">
      <alignment vertical="center"/>
    </xf>
    <xf numFmtId="0" fontId="1" fillId="0" borderId="0" xfId="0" applyFont="1" applyAlignment="1">
      <alignment horizontal="center" vertical="center"/>
    </xf>
    <xf numFmtId="4" fontId="1" fillId="0" borderId="0" xfId="0" applyNumberFormat="1" applyFont="1" applyAlignment="1">
      <alignment vertical="center"/>
    </xf>
    <xf numFmtId="0" fontId="2" fillId="4" borderId="4" xfId="0" applyFont="1" applyFill="1" applyBorder="1" applyAlignment="1">
      <alignment horizontal="center" vertical="center"/>
    </xf>
    <xf numFmtId="4" fontId="2" fillId="0" borderId="4" xfId="0" applyNumberFormat="1" applyFont="1" applyBorder="1" applyAlignment="1">
      <alignment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vertical="center" wrapText="1"/>
    </xf>
    <xf numFmtId="0" fontId="2" fillId="3" borderId="15" xfId="0" applyFont="1" applyFill="1" applyBorder="1" applyAlignment="1">
      <alignment horizontal="center" vertical="center"/>
    </xf>
    <xf numFmtId="4" fontId="2" fillId="3" borderId="16" xfId="0" applyNumberFormat="1" applyFont="1" applyFill="1" applyBorder="1" applyAlignment="1">
      <alignment vertical="center"/>
    </xf>
    <xf numFmtId="0" fontId="1" fillId="0" borderId="15" xfId="0" applyFont="1" applyBorder="1" applyAlignment="1">
      <alignment horizontal="center" vertical="center"/>
    </xf>
    <xf numFmtId="4" fontId="1" fillId="0" borderId="16" xfId="0" applyNumberFormat="1" applyFont="1" applyBorder="1" applyAlignment="1">
      <alignment vertical="center"/>
    </xf>
    <xf numFmtId="0" fontId="2" fillId="0" borderId="15"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0" fontId="0" fillId="0" borderId="0" xfId="0" applyAlignment="1">
      <alignment horizontal="center"/>
    </xf>
    <xf numFmtId="0" fontId="1" fillId="2" borderId="4" xfId="0" applyFont="1" applyFill="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0" fontId="1" fillId="2" borderId="1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vertical="center" wrapText="1"/>
    </xf>
    <xf numFmtId="4" fontId="1" fillId="2" borderId="4" xfId="0" applyNumberFormat="1" applyFont="1" applyFill="1" applyBorder="1" applyAlignment="1">
      <alignment vertical="center"/>
    </xf>
    <xf numFmtId="4" fontId="1" fillId="2" borderId="16" xfId="0" applyNumberFormat="1" applyFont="1" applyFill="1" applyBorder="1" applyAlignment="1">
      <alignment vertical="center"/>
    </xf>
    <xf numFmtId="2" fontId="1" fillId="0" borderId="0" xfId="0" applyNumberFormat="1" applyFont="1"/>
    <xf numFmtId="0"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2" fontId="6" fillId="6" borderId="4" xfId="0" applyNumberFormat="1" applyFont="1" applyFill="1" applyBorder="1" applyAlignment="1">
      <alignment horizontal="center"/>
    </xf>
    <xf numFmtId="2" fontId="6" fillId="0" borderId="4" xfId="0" applyNumberFormat="1" applyFont="1" applyBorder="1" applyAlignment="1">
      <alignment horizontal="center"/>
    </xf>
    <xf numFmtId="4" fontId="6" fillId="6" borderId="4" xfId="0" applyNumberFormat="1" applyFont="1" applyFill="1" applyBorder="1" applyAlignment="1">
      <alignment horizontal="center"/>
    </xf>
    <xf numFmtId="2" fontId="7" fillId="0" borderId="0" xfId="0" applyNumberFormat="1" applyFont="1"/>
    <xf numFmtId="0" fontId="8" fillId="3" borderId="4" xfId="0" applyNumberFormat="1" applyFont="1" applyFill="1" applyBorder="1" applyAlignment="1">
      <alignment horizontal="center"/>
    </xf>
    <xf numFmtId="2" fontId="8" fillId="3" borderId="4" xfId="0" applyNumberFormat="1" applyFont="1" applyFill="1" applyBorder="1" applyAlignment="1">
      <alignment horizontal="left"/>
    </xf>
    <xf numFmtId="2" fontId="8" fillId="3" borderId="4" xfId="0" applyNumberFormat="1" applyFont="1" applyFill="1" applyBorder="1" applyAlignment="1">
      <alignment horizontal="center"/>
    </xf>
    <xf numFmtId="4" fontId="8" fillId="3" borderId="4" xfId="0" applyNumberFormat="1" applyFont="1" applyFill="1" applyBorder="1" applyAlignment="1">
      <alignment horizontal="center"/>
    </xf>
    <xf numFmtId="0" fontId="9" fillId="0" borderId="4" xfId="0" applyNumberFormat="1" applyFont="1" applyFill="1" applyBorder="1" applyAlignment="1">
      <alignment horizontal="center" vertical="center"/>
    </xf>
    <xf numFmtId="2" fontId="9" fillId="0" borderId="4" xfId="0" applyNumberFormat="1" applyFont="1" applyFill="1" applyBorder="1" applyAlignment="1">
      <alignment horizontal="left" vertical="center" wrapText="1"/>
    </xf>
    <xf numFmtId="2" fontId="9" fillId="0" borderId="4" xfId="0" applyNumberFormat="1" applyFont="1" applyFill="1" applyBorder="1" applyAlignment="1">
      <alignment horizontal="center" vertical="center"/>
    </xf>
    <xf numFmtId="2" fontId="9" fillId="6" borderId="4" xfId="0" applyNumberFormat="1" applyFont="1" applyFill="1" applyBorder="1" applyAlignment="1">
      <alignment horizontal="center" vertical="center"/>
    </xf>
    <xf numFmtId="2" fontId="9" fillId="0" borderId="4" xfId="0" applyNumberFormat="1" applyFont="1" applyBorder="1" applyAlignment="1">
      <alignment horizontal="center" vertical="center"/>
    </xf>
    <xf numFmtId="4" fontId="8" fillId="6" borderId="4" xfId="0" applyNumberFormat="1" applyFont="1" applyFill="1" applyBorder="1" applyAlignment="1">
      <alignment horizontal="center" vertical="center"/>
    </xf>
    <xf numFmtId="2" fontId="7" fillId="0" borderId="0" xfId="0" applyNumberFormat="1" applyFont="1" applyAlignment="1">
      <alignment vertical="center"/>
    </xf>
    <xf numFmtId="2" fontId="9" fillId="0" borderId="4" xfId="0" applyNumberFormat="1" applyFont="1" applyFill="1" applyBorder="1" applyAlignment="1">
      <alignment horizontal="left" vertical="center"/>
    </xf>
    <xf numFmtId="0" fontId="11" fillId="3" borderId="4" xfId="0" applyNumberFormat="1" applyFont="1" applyFill="1" applyBorder="1" applyAlignment="1">
      <alignment horizontal="center" vertical="center"/>
    </xf>
    <xf numFmtId="2" fontId="11" fillId="3" borderId="4" xfId="0" applyNumberFormat="1" applyFont="1" applyFill="1" applyBorder="1" applyAlignment="1">
      <alignment vertical="center"/>
    </xf>
    <xf numFmtId="2" fontId="2" fillId="3" borderId="4" xfId="0" applyNumberFormat="1" applyFont="1" applyFill="1" applyBorder="1" applyAlignment="1">
      <alignment horizontal="center" vertical="center"/>
    </xf>
    <xf numFmtId="2" fontId="12" fillId="3" borderId="4" xfId="0" applyNumberFormat="1" applyFont="1" applyFill="1" applyBorder="1" applyAlignment="1">
      <alignment horizontal="center" vertical="center"/>
    </xf>
    <xf numFmtId="4" fontId="6" fillId="3" borderId="4" xfId="0" applyNumberFormat="1" applyFont="1" applyFill="1" applyBorder="1" applyAlignment="1">
      <alignment horizontal="center" vertical="center"/>
    </xf>
    <xf numFmtId="0" fontId="7" fillId="0" borderId="4" xfId="0" applyNumberFormat="1" applyFont="1" applyBorder="1" applyAlignment="1">
      <alignment horizontal="center" vertical="center"/>
    </xf>
    <xf numFmtId="2" fontId="7" fillId="0" borderId="4" xfId="0" applyNumberFormat="1" applyFont="1" applyBorder="1" applyAlignment="1">
      <alignment vertical="center" wrapText="1"/>
    </xf>
    <xf numFmtId="2" fontId="7" fillId="0" borderId="4" xfId="0" applyNumberFormat="1" applyFont="1" applyBorder="1" applyAlignment="1">
      <alignment horizontal="center" vertical="center" wrapText="1"/>
    </xf>
    <xf numFmtId="2" fontId="7" fillId="0" borderId="4" xfId="0" applyNumberFormat="1" applyFont="1" applyBorder="1" applyAlignment="1">
      <alignment horizontal="center" vertical="center"/>
    </xf>
    <xf numFmtId="2" fontId="7" fillId="0" borderId="4" xfId="2" applyNumberFormat="1" applyFont="1" applyBorder="1" applyAlignment="1">
      <alignment horizontal="center" vertical="center"/>
    </xf>
    <xf numFmtId="4" fontId="11" fillId="0" borderId="4" xfId="0" applyNumberFormat="1" applyFont="1" applyBorder="1" applyAlignment="1">
      <alignment horizontal="center" vertical="center"/>
    </xf>
    <xf numFmtId="0" fontId="11" fillId="3" borderId="4" xfId="0" applyNumberFormat="1" applyFont="1" applyFill="1" applyBorder="1" applyAlignment="1">
      <alignment horizontal="center"/>
    </xf>
    <xf numFmtId="4" fontId="2" fillId="3" borderId="4" xfId="0" applyNumberFormat="1" applyFont="1" applyFill="1" applyBorder="1" applyAlignment="1">
      <alignment horizontal="center" vertical="center"/>
    </xf>
    <xf numFmtId="0" fontId="7" fillId="0" borderId="4" xfId="0" applyNumberFormat="1" applyFont="1" applyBorder="1" applyAlignment="1">
      <alignment horizontal="center"/>
    </xf>
    <xf numFmtId="2" fontId="13" fillId="0" borderId="4" xfId="0" applyNumberFormat="1" applyFont="1" applyBorder="1" applyAlignment="1">
      <alignment horizontal="right" vertical="center"/>
    </xf>
    <xf numFmtId="0" fontId="11" fillId="0" borderId="4" xfId="0" applyNumberFormat="1" applyFont="1" applyBorder="1" applyAlignment="1">
      <alignment horizontal="center"/>
    </xf>
    <xf numFmtId="2" fontId="11" fillId="0" borderId="4" xfId="0" applyNumberFormat="1" applyFont="1" applyBorder="1" applyAlignment="1">
      <alignment vertical="center"/>
    </xf>
    <xf numFmtId="2" fontId="11" fillId="0" borderId="4" xfId="0" applyNumberFormat="1" applyFont="1" applyBorder="1" applyAlignment="1">
      <alignment horizontal="center" vertical="center"/>
    </xf>
    <xf numFmtId="2" fontId="7" fillId="0" borderId="4" xfId="0" applyNumberFormat="1" applyFont="1" applyBorder="1" applyAlignment="1">
      <alignment vertical="center"/>
    </xf>
    <xf numFmtId="164" fontId="7" fillId="0" borderId="4" xfId="2" applyNumberFormat="1" applyFont="1" applyBorder="1" applyAlignment="1">
      <alignment horizontal="center" vertical="center"/>
    </xf>
    <xf numFmtId="2" fontId="7" fillId="3" borderId="4" xfId="0" applyNumberFormat="1" applyFont="1" applyFill="1" applyBorder="1" applyAlignment="1">
      <alignment horizontal="center" vertical="center"/>
    </xf>
    <xf numFmtId="2" fontId="7" fillId="3" borderId="4" xfId="2" applyNumberFormat="1" applyFont="1" applyFill="1" applyBorder="1" applyAlignment="1">
      <alignment horizontal="center" vertical="center"/>
    </xf>
    <xf numFmtId="4" fontId="11" fillId="3" borderId="4" xfId="0" applyNumberFormat="1" applyFont="1" applyFill="1" applyBorder="1" applyAlignment="1">
      <alignment horizontal="center" vertical="center"/>
    </xf>
    <xf numFmtId="4" fontId="7" fillId="0" borderId="4" xfId="0" applyNumberFormat="1" applyFont="1" applyBorder="1" applyAlignment="1">
      <alignment horizontal="center" vertical="center"/>
    </xf>
    <xf numFmtId="2" fontId="13" fillId="0" borderId="4" xfId="0" applyNumberFormat="1" applyFont="1" applyBorder="1" applyAlignment="1">
      <alignment horizontal="center" vertical="center"/>
    </xf>
    <xf numFmtId="2" fontId="13" fillId="0" borderId="4" xfId="2" applyNumberFormat="1" applyFont="1" applyBorder="1" applyAlignment="1">
      <alignment horizontal="center" vertical="center"/>
    </xf>
    <xf numFmtId="2" fontId="7" fillId="0" borderId="4" xfId="0" applyNumberFormat="1" applyFont="1" applyBorder="1" applyAlignment="1">
      <alignment wrapText="1"/>
    </xf>
    <xf numFmtId="0" fontId="13" fillId="0" borderId="0" xfId="0" applyNumberFormat="1" applyFont="1" applyAlignment="1">
      <alignment vertical="center" wrapText="1"/>
    </xf>
    <xf numFmtId="2" fontId="7" fillId="0" borderId="4" xfId="0" applyNumberFormat="1" applyFont="1" applyBorder="1"/>
    <xf numFmtId="2" fontId="13" fillId="0" borderId="4" xfId="0" applyNumberFormat="1" applyFont="1" applyBorder="1" applyAlignment="1">
      <alignment horizontal="right"/>
    </xf>
    <xf numFmtId="2" fontId="7" fillId="0" borderId="4" xfId="0" applyNumberFormat="1" applyFont="1" applyBorder="1" applyAlignment="1">
      <alignment horizontal="left" vertical="center" wrapText="1"/>
    </xf>
    <xf numFmtId="2" fontId="13" fillId="0" borderId="4" xfId="0" applyNumberFormat="1" applyFont="1" applyBorder="1" applyAlignment="1">
      <alignment horizontal="right" vertical="center" wrapText="1"/>
    </xf>
    <xf numFmtId="4" fontId="13" fillId="0" borderId="4" xfId="0" applyNumberFormat="1" applyFont="1" applyBorder="1" applyAlignment="1">
      <alignment horizontal="center" vertical="center"/>
    </xf>
    <xf numFmtId="165" fontId="7" fillId="0" borderId="4" xfId="0" applyNumberFormat="1" applyFont="1" applyBorder="1" applyAlignment="1">
      <alignment horizontal="center" vertical="center"/>
    </xf>
    <xf numFmtId="2" fontId="7" fillId="2" borderId="4" xfId="0" applyNumberFormat="1" applyFont="1" applyFill="1" applyBorder="1" applyAlignment="1">
      <alignment vertical="center" wrapText="1"/>
    </xf>
    <xf numFmtId="2" fontId="7" fillId="2" borderId="4" xfId="0" applyNumberFormat="1" applyFont="1" applyFill="1" applyBorder="1" applyAlignment="1">
      <alignment horizontal="center" vertical="center"/>
    </xf>
    <xf numFmtId="4" fontId="11" fillId="2" borderId="4" xfId="0" applyNumberFormat="1" applyFont="1" applyFill="1" applyBorder="1" applyAlignment="1">
      <alignment horizontal="center" vertical="center"/>
    </xf>
    <xf numFmtId="0" fontId="7" fillId="0" borderId="0" xfId="0" applyNumberFormat="1" applyFont="1" applyAlignment="1">
      <alignment horizontal="center"/>
    </xf>
    <xf numFmtId="2" fontId="7" fillId="2" borderId="0" xfId="0" applyNumberFormat="1" applyFont="1" applyFill="1"/>
    <xf numFmtId="4" fontId="11" fillId="2" borderId="0" xfId="0" applyNumberFormat="1" applyFont="1" applyFill="1"/>
    <xf numFmtId="4" fontId="1" fillId="2" borderId="0" xfId="0" applyNumberFormat="1" applyFont="1" applyFill="1" applyAlignment="1">
      <alignment vertical="center"/>
    </xf>
    <xf numFmtId="4" fontId="11" fillId="0" borderId="0" xfId="0" applyNumberFormat="1" applyFont="1"/>
    <xf numFmtId="0" fontId="1" fillId="0" borderId="0" xfId="0" applyFont="1"/>
    <xf numFmtId="0" fontId="2" fillId="0" borderId="4" xfId="0" applyFont="1" applyBorder="1" applyAlignment="1">
      <alignment horizontal="center"/>
    </xf>
    <xf numFmtId="0" fontId="2" fillId="0" borderId="4" xfId="0" applyFont="1" applyFill="1" applyBorder="1" applyAlignment="1">
      <alignment horizontal="center" vertical="center"/>
    </xf>
    <xf numFmtId="0" fontId="2" fillId="5" borderId="4" xfId="0" applyFont="1" applyFill="1" applyBorder="1" applyAlignment="1">
      <alignment horizontal="center"/>
    </xf>
    <xf numFmtId="0" fontId="2" fillId="5" borderId="4" xfId="0" applyFont="1" applyFill="1" applyBorder="1"/>
    <xf numFmtId="4" fontId="1" fillId="5" borderId="4" xfId="0" applyNumberFormat="1" applyFont="1" applyFill="1" applyBorder="1"/>
    <xf numFmtId="10" fontId="1" fillId="5" borderId="4" xfId="1" applyNumberFormat="1" applyFont="1" applyFill="1" applyBorder="1"/>
    <xf numFmtId="4" fontId="1" fillId="3" borderId="4" xfId="0" applyNumberFormat="1" applyFont="1" applyFill="1" applyBorder="1"/>
    <xf numFmtId="4" fontId="1" fillId="0" borderId="4" xfId="0" applyNumberFormat="1" applyFont="1" applyBorder="1" applyAlignment="1">
      <alignment horizontal="center"/>
    </xf>
    <xf numFmtId="4" fontId="1" fillId="0" borderId="0" xfId="0" applyNumberFormat="1" applyFont="1"/>
    <xf numFmtId="4" fontId="2" fillId="5" borderId="4" xfId="0" applyNumberFormat="1" applyFont="1" applyFill="1" applyBorder="1"/>
    <xf numFmtId="0" fontId="1" fillId="0" borderId="4" xfId="0" applyFont="1" applyBorder="1"/>
    <xf numFmtId="4" fontId="2" fillId="0" borderId="4" xfId="0" applyNumberFormat="1" applyFont="1" applyBorder="1"/>
    <xf numFmtId="10" fontId="2" fillId="0" borderId="4" xfId="1" applyNumberFormat="1" applyFont="1" applyBorder="1"/>
    <xf numFmtId="10" fontId="2" fillId="0" borderId="4" xfId="0" applyNumberFormat="1" applyFont="1" applyBorder="1"/>
    <xf numFmtId="0" fontId="1" fillId="2" borderId="0" xfId="0" applyFont="1" applyFill="1"/>
    <xf numFmtId="2" fontId="7" fillId="0" borderId="4" xfId="0" applyNumberFormat="1" applyFont="1" applyBorder="1" applyAlignment="1">
      <alignment horizontal="center" vertical="center"/>
    </xf>
    <xf numFmtId="0" fontId="1" fillId="0" borderId="4" xfId="0" applyFont="1" applyBorder="1" applyAlignment="1">
      <alignment horizontal="center" vertical="center"/>
    </xf>
    <xf numFmtId="4" fontId="2" fillId="0" borderId="1" xfId="0" applyNumberFormat="1" applyFont="1" applyBorder="1" applyAlignment="1">
      <alignment vertical="center"/>
    </xf>
    <xf numFmtId="0" fontId="2" fillId="3" borderId="1" xfId="0" applyFont="1" applyFill="1" applyBorder="1" applyAlignment="1">
      <alignment vertical="center"/>
    </xf>
    <xf numFmtId="0" fontId="2" fillId="3" borderId="2" xfId="0" applyFont="1" applyFill="1" applyBorder="1" applyAlignment="1">
      <alignment vertical="center"/>
    </xf>
    <xf numFmtId="0" fontId="1" fillId="3" borderId="1" xfId="0" applyFont="1" applyFill="1" applyBorder="1" applyAlignment="1">
      <alignment vertical="center"/>
    </xf>
    <xf numFmtId="0" fontId="1" fillId="3" borderId="2" xfId="0" applyFont="1" applyFill="1" applyBorder="1" applyAlignment="1">
      <alignment vertical="center"/>
    </xf>
    <xf numFmtId="0" fontId="15" fillId="0" borderId="0" xfId="0" applyNumberFormat="1" applyFont="1" applyBorder="1" applyAlignment="1"/>
    <xf numFmtId="0" fontId="16" fillId="0" borderId="0" xfId="0" applyNumberFormat="1" applyFont="1"/>
    <xf numFmtId="0" fontId="16" fillId="0" borderId="0" xfId="0" applyNumberFormat="1" applyFont="1" applyAlignment="1">
      <alignment horizontal="left"/>
    </xf>
    <xf numFmtId="0" fontId="17" fillId="0" borderId="0" xfId="0" applyNumberFormat="1" applyFont="1" applyBorder="1" applyAlignment="1">
      <alignment horizontal="center"/>
    </xf>
    <xf numFmtId="0" fontId="18" fillId="0" borderId="0" xfId="0" applyNumberFormat="1" applyFont="1"/>
    <xf numFmtId="0" fontId="18" fillId="0" borderId="0" xfId="0" applyNumberFormat="1" applyFont="1" applyAlignment="1">
      <alignment horizontal="left"/>
    </xf>
    <xf numFmtId="0" fontId="19" fillId="0" borderId="0" xfId="0" applyNumberFormat="1" applyFont="1" applyBorder="1" applyAlignment="1">
      <alignment horizontal="right" vertical="center"/>
    </xf>
    <xf numFmtId="0" fontId="17" fillId="0" borderId="0" xfId="0" applyNumberFormat="1" applyFont="1"/>
    <xf numFmtId="10" fontId="17" fillId="7" borderId="0" xfId="0" applyNumberFormat="1" applyFont="1" applyFill="1" applyBorder="1" applyAlignment="1" applyProtection="1">
      <alignment horizontal="left" vertical="center" wrapText="1"/>
      <protection locked="0"/>
    </xf>
    <xf numFmtId="0" fontId="18" fillId="0" borderId="0" xfId="0" applyNumberFormat="1" applyFont="1" applyFill="1" applyBorder="1" applyAlignment="1">
      <alignment horizontal="right" vertical="center"/>
    </xf>
    <xf numFmtId="10" fontId="17" fillId="0" borderId="0" xfId="0" applyNumberFormat="1" applyFont="1" applyFill="1" applyBorder="1" applyAlignment="1">
      <alignment horizontal="left" vertical="center"/>
    </xf>
    <xf numFmtId="0" fontId="17" fillId="0" borderId="0" xfId="0" applyNumberFormat="1" applyFont="1" applyAlignment="1">
      <alignment horizontal="center" wrapText="1"/>
    </xf>
    <xf numFmtId="0" fontId="17" fillId="0" borderId="0" xfId="0" applyNumberFormat="1" applyFont="1" applyAlignment="1">
      <alignment wrapText="1"/>
    </xf>
    <xf numFmtId="0" fontId="22" fillId="0" borderId="0" xfId="3" applyFont="1" applyProtection="1"/>
    <xf numFmtId="0" fontId="23" fillId="0" borderId="0" xfId="3" applyFont="1" applyProtection="1"/>
    <xf numFmtId="0" fontId="24" fillId="0" borderId="0" xfId="3" applyFont="1" applyAlignment="1" applyProtection="1"/>
    <xf numFmtId="0" fontId="21" fillId="0" borderId="0" xfId="3" applyFont="1" applyAlignment="1" applyProtection="1">
      <alignment horizontal="center"/>
    </xf>
    <xf numFmtId="0" fontId="21" fillId="0" borderId="0" xfId="3" applyFont="1" applyFill="1" applyAlignment="1" applyProtection="1"/>
    <xf numFmtId="0" fontId="22" fillId="7" borderId="0" xfId="3" applyFont="1" applyFill="1" applyAlignment="1" applyProtection="1">
      <protection locked="0"/>
    </xf>
    <xf numFmtId="0" fontId="22" fillId="0" borderId="0" xfId="3" applyFont="1" applyAlignment="1" applyProtection="1"/>
    <xf numFmtId="0" fontId="23" fillId="0" borderId="0" xfId="3" applyFont="1" applyAlignment="1" applyProtection="1"/>
    <xf numFmtId="0" fontId="24" fillId="0" borderId="0" xfId="3" applyFont="1" applyAlignment="1" applyProtection="1">
      <alignment horizontal="center"/>
    </xf>
    <xf numFmtId="0" fontId="24" fillId="0" borderId="0" xfId="3" applyFont="1" applyFill="1" applyAlignment="1" applyProtection="1"/>
    <xf numFmtId="0" fontId="22" fillId="0" borderId="0" xfId="3" applyFont="1" applyAlignment="1" applyProtection="1">
      <alignment horizontal="center"/>
    </xf>
    <xf numFmtId="0" fontId="22" fillId="0" borderId="0" xfId="3" applyFont="1" applyFill="1" applyAlignment="1" applyProtection="1">
      <alignment horizontal="center"/>
    </xf>
    <xf numFmtId="0" fontId="24" fillId="0" borderId="0" xfId="3" applyFont="1" applyFill="1" applyAlignment="1" applyProtection="1">
      <alignment horizontal="center"/>
    </xf>
    <xf numFmtId="0" fontId="22" fillId="0" borderId="0" xfId="3" applyFont="1" applyAlignment="1" applyProtection="1">
      <alignment horizontal="right"/>
    </xf>
    <xf numFmtId="0" fontId="22" fillId="0" borderId="22" xfId="3" applyFont="1" applyBorder="1" applyAlignment="1" applyProtection="1">
      <alignment horizontal="justify" vertical="top" wrapText="1"/>
    </xf>
    <xf numFmtId="2" fontId="22" fillId="7" borderId="23" xfId="3" applyNumberFormat="1" applyFont="1" applyFill="1" applyBorder="1" applyAlignment="1" applyProtection="1">
      <alignment horizontal="center" vertical="top" wrapText="1"/>
      <protection locked="0"/>
    </xf>
    <xf numFmtId="0" fontId="22" fillId="0" borderId="3" xfId="3" applyFont="1" applyFill="1" applyBorder="1" applyAlignment="1" applyProtection="1">
      <alignment horizontal="center" vertical="top" wrapText="1"/>
    </xf>
    <xf numFmtId="0" fontId="18" fillId="0" borderId="0" xfId="3" applyFont="1" applyBorder="1" applyAlignment="1" applyProtection="1">
      <alignment horizontal="center" wrapText="1"/>
    </xf>
    <xf numFmtId="0" fontId="22" fillId="0" borderId="0" xfId="3" applyFont="1" applyBorder="1" applyProtection="1"/>
    <xf numFmtId="0" fontId="25" fillId="0" borderId="2" xfId="3" applyFont="1" applyBorder="1" applyAlignment="1" applyProtection="1">
      <alignment horizontal="justify" vertical="top" wrapText="1"/>
    </xf>
    <xf numFmtId="2" fontId="22" fillId="0" borderId="2" xfId="3" applyNumberFormat="1" applyFont="1" applyFill="1" applyBorder="1" applyAlignment="1" applyProtection="1">
      <alignment horizontal="center" vertical="top" wrapText="1"/>
    </xf>
    <xf numFmtId="0" fontId="22" fillId="0" borderId="2" xfId="3" applyFont="1" applyFill="1" applyBorder="1" applyAlignment="1" applyProtection="1">
      <alignment horizontal="center" vertical="top" wrapText="1"/>
    </xf>
    <xf numFmtId="0" fontId="22" fillId="0" borderId="0" xfId="3" applyFont="1" applyBorder="1" applyAlignment="1" applyProtection="1">
      <alignment horizontal="center"/>
    </xf>
    <xf numFmtId="0" fontId="22" fillId="0" borderId="0" xfId="3" applyFont="1" applyFill="1" applyBorder="1" applyAlignment="1" applyProtection="1">
      <alignment horizontal="center"/>
    </xf>
    <xf numFmtId="0" fontId="21" fillId="0" borderId="0" xfId="3" applyFont="1" applyAlignment="1" applyProtection="1"/>
    <xf numFmtId="0" fontId="21" fillId="0" borderId="22" xfId="3" applyFont="1" applyBorder="1" applyAlignment="1" applyProtection="1">
      <alignment horizontal="justify"/>
    </xf>
    <xf numFmtId="2" fontId="21" fillId="0" borderId="23" xfId="3" applyNumberFormat="1" applyFont="1" applyBorder="1" applyAlignment="1" applyProtection="1">
      <alignment horizontal="center"/>
    </xf>
    <xf numFmtId="0" fontId="21" fillId="0" borderId="3" xfId="3" applyFont="1" applyFill="1" applyBorder="1" applyAlignment="1" applyProtection="1">
      <alignment horizontal="center" vertical="top" wrapText="1"/>
    </xf>
    <xf numFmtId="0" fontId="25" fillId="0" borderId="22" xfId="3" applyFont="1" applyBorder="1" applyAlignment="1" applyProtection="1">
      <alignment horizontal="left" vertical="top" wrapText="1" indent="2"/>
    </xf>
    <xf numFmtId="0" fontId="24" fillId="0" borderId="0" xfId="3" applyFont="1" applyBorder="1" applyAlignment="1" applyProtection="1">
      <alignment horizontal="center"/>
    </xf>
    <xf numFmtId="0" fontId="24" fillId="0" borderId="0" xfId="3" applyFont="1" applyFill="1" applyBorder="1" applyAlignment="1" applyProtection="1">
      <alignment horizontal="center"/>
    </xf>
    <xf numFmtId="2" fontId="22" fillId="0" borderId="23" xfId="3" applyNumberFormat="1" applyFont="1" applyFill="1" applyBorder="1" applyAlignment="1" applyProtection="1">
      <alignment horizontal="center" vertical="top" wrapText="1"/>
    </xf>
    <xf numFmtId="2" fontId="22" fillId="0" borderId="3" xfId="3" applyNumberFormat="1" applyFont="1" applyFill="1" applyBorder="1" applyAlignment="1" applyProtection="1">
      <alignment horizontal="center" vertical="top" wrapText="1"/>
    </xf>
    <xf numFmtId="10" fontId="29" fillId="0" borderId="0" xfId="5" applyNumberFormat="1" applyFont="1" applyBorder="1" applyAlignment="1" applyProtection="1">
      <alignment horizontal="center" vertical="center" wrapText="1"/>
    </xf>
    <xf numFmtId="10" fontId="29" fillId="0" borderId="0" xfId="5" applyNumberFormat="1" applyFont="1" applyBorder="1" applyAlignment="1" applyProtection="1">
      <alignment horizontal="left" vertical="center" wrapText="1"/>
    </xf>
    <xf numFmtId="10" fontId="30" fillId="0" borderId="0" xfId="5" applyNumberFormat="1" applyFont="1" applyProtection="1"/>
    <xf numFmtId="166" fontId="30" fillId="0" borderId="0" xfId="5" applyNumberFormat="1" applyFont="1" applyAlignment="1" applyProtection="1">
      <alignment horizontal="center"/>
    </xf>
    <xf numFmtId="0" fontId="22" fillId="0" borderId="0" xfId="3" applyFont="1" applyFill="1" applyProtection="1"/>
    <xf numFmtId="0" fontId="31" fillId="0" borderId="0" xfId="3" applyFont="1" applyAlignment="1" applyProtection="1">
      <alignment horizontal="left"/>
    </xf>
    <xf numFmtId="0" fontId="31" fillId="0" borderId="0" xfId="0" applyFont="1" applyFill="1" applyBorder="1" applyAlignment="1">
      <alignment vertical="center"/>
    </xf>
    <xf numFmtId="0" fontId="21" fillId="0" borderId="0" xfId="0" applyFont="1" applyFill="1" applyBorder="1" applyAlignment="1">
      <alignment vertical="center"/>
    </xf>
    <xf numFmtId="0" fontId="32" fillId="0" borderId="0" xfId="0" applyFont="1" applyFill="1" applyBorder="1" applyAlignment="1">
      <alignment vertical="center"/>
    </xf>
    <xf numFmtId="0" fontId="33" fillId="7" borderId="5" xfId="0" applyFont="1" applyFill="1" applyBorder="1" applyAlignment="1" applyProtection="1">
      <alignment horizontal="center" vertical="center"/>
      <protection locked="0"/>
    </xf>
    <xf numFmtId="0" fontId="32" fillId="7" borderId="0" xfId="0" applyFont="1" applyFill="1" applyBorder="1" applyAlignment="1" applyProtection="1">
      <alignment horizontal="center" vertical="center"/>
      <protection locked="0"/>
    </xf>
    <xf numFmtId="167" fontId="7" fillId="0" borderId="0" xfId="0" applyNumberFormat="1" applyFont="1"/>
    <xf numFmtId="0" fontId="2" fillId="3" borderId="3" xfId="0" applyFont="1" applyFill="1" applyBorder="1" applyAlignment="1">
      <alignment horizontal="center" vertical="center"/>
    </xf>
    <xf numFmtId="2" fontId="13" fillId="0" borderId="4" xfId="0" applyNumberFormat="1" applyFont="1" applyBorder="1" applyAlignment="1">
      <alignment horizontal="center" vertical="center"/>
    </xf>
    <xf numFmtId="0" fontId="13" fillId="0" borderId="4" xfId="0" applyNumberFormat="1" applyFont="1" applyBorder="1" applyAlignment="1">
      <alignment horizontal="center" vertical="center"/>
    </xf>
    <xf numFmtId="0" fontId="1" fillId="0" borderId="4" xfId="0" applyFont="1" applyBorder="1" applyAlignment="1">
      <alignment horizontal="center" vertical="center"/>
    </xf>
    <xf numFmtId="2" fontId="7" fillId="0" borderId="4" xfId="0" applyNumberFormat="1"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2" fontId="14" fillId="0" borderId="4" xfId="0" applyNumberFormat="1" applyFont="1" applyBorder="1" applyAlignment="1">
      <alignment horizontal="center" vertical="center"/>
    </xf>
    <xf numFmtId="168" fontId="1" fillId="0" borderId="0" xfId="0" applyNumberFormat="1" applyFont="1" applyAlignment="1">
      <alignment vertical="center"/>
    </xf>
    <xf numFmtId="0" fontId="0" fillId="0" borderId="0" xfId="0" applyAlignment="1">
      <alignment horizontal="center" vertical="center"/>
    </xf>
    <xf numFmtId="0" fontId="40" fillId="0" borderId="0" xfId="0" applyFont="1" applyAlignment="1">
      <alignment horizontal="center"/>
    </xf>
    <xf numFmtId="0" fontId="40" fillId="0" borderId="4" xfId="0" applyFont="1" applyBorder="1" applyAlignment="1">
      <alignment horizontal="center" vertical="center"/>
    </xf>
    <xf numFmtId="0" fontId="40" fillId="0" borderId="4" xfId="0" applyFont="1" applyBorder="1" applyAlignment="1">
      <alignment horizontal="center" vertical="center" wrapText="1"/>
    </xf>
    <xf numFmtId="2" fontId="7" fillId="0" borderId="4" xfId="0" applyNumberFormat="1" applyFont="1" applyBorder="1" applyAlignment="1">
      <alignment horizontal="center" vertical="center"/>
    </xf>
    <xf numFmtId="0" fontId="1" fillId="0" borderId="4" xfId="0" applyFont="1" applyBorder="1" applyAlignment="1">
      <alignment horizontal="center" vertical="center"/>
    </xf>
    <xf numFmtId="0" fontId="40" fillId="0" borderId="0" xfId="0" applyFont="1"/>
    <xf numFmtId="0" fontId="40" fillId="0" borderId="4" xfId="0" applyFont="1" applyBorder="1" applyAlignment="1">
      <alignment horizontal="center"/>
    </xf>
    <xf numFmtId="4" fontId="2" fillId="0" borderId="16" xfId="0" applyNumberFormat="1" applyFont="1" applyBorder="1" applyAlignment="1">
      <alignment vertical="center"/>
    </xf>
    <xf numFmtId="0" fontId="11" fillId="0" borderId="4" xfId="0" applyNumberFormat="1" applyFont="1" applyBorder="1" applyAlignment="1">
      <alignment horizontal="center" vertical="center"/>
    </xf>
    <xf numFmtId="2" fontId="11" fillId="0" borderId="4" xfId="0" applyNumberFormat="1" applyFont="1" applyBorder="1" applyAlignment="1">
      <alignment vertical="center" wrapText="1"/>
    </xf>
    <xf numFmtId="2" fontId="11" fillId="0" borderId="0" xfId="0" applyNumberFormat="1" applyFont="1" applyAlignment="1">
      <alignment vertical="center"/>
    </xf>
    <xf numFmtId="0" fontId="42" fillId="4" borderId="4" xfId="7" applyFont="1" applyFill="1" applyBorder="1" applyAlignment="1">
      <alignment horizontal="justify" vertical="center" wrapText="1"/>
    </xf>
    <xf numFmtId="0" fontId="42" fillId="4" borderId="4" xfId="7" applyFont="1" applyFill="1" applyBorder="1" applyAlignment="1">
      <alignment horizontal="center" vertical="center" wrapText="1"/>
    </xf>
    <xf numFmtId="169" fontId="42" fillId="4" borderId="4" xfId="7" applyNumberFormat="1" applyFont="1" applyFill="1" applyBorder="1" applyAlignment="1">
      <alignment horizontal="center" vertical="center" wrapText="1"/>
    </xf>
    <xf numFmtId="0" fontId="43" fillId="0" borderId="4" xfId="7" applyFont="1" applyFill="1" applyBorder="1" applyAlignment="1">
      <alignment horizontal="center" vertical="center" wrapText="1"/>
    </xf>
    <xf numFmtId="0" fontId="43" fillId="0" borderId="4" xfId="7" applyFont="1" applyFill="1" applyBorder="1" applyAlignment="1">
      <alignment horizontal="justify" vertical="center" wrapText="1"/>
    </xf>
    <xf numFmtId="169" fontId="43" fillId="0" borderId="4" xfId="7" applyNumberFormat="1" applyFont="1" applyFill="1" applyBorder="1" applyAlignment="1">
      <alignment horizontal="right" vertical="center" wrapText="1"/>
    </xf>
    <xf numFmtId="43" fontId="43" fillId="0" borderId="4" xfId="2" applyFont="1" applyFill="1" applyBorder="1" applyAlignment="1">
      <alignment horizontal="right" vertical="center" wrapText="1"/>
    </xf>
    <xf numFmtId="43" fontId="44" fillId="0" borderId="4" xfId="2" applyFont="1" applyFill="1" applyBorder="1" applyAlignment="1">
      <alignment horizontal="right" vertical="center" wrapText="1"/>
    </xf>
    <xf numFmtId="0" fontId="44" fillId="0" borderId="0" xfId="8" applyFont="1" applyFill="1" applyBorder="1" applyAlignment="1">
      <alignment vertical="center"/>
    </xf>
    <xf numFmtId="170" fontId="44" fillId="0" borderId="0" xfId="8" applyNumberFormat="1" applyFont="1" applyFill="1" applyBorder="1" applyAlignment="1">
      <alignment vertical="center"/>
    </xf>
    <xf numFmtId="0" fontId="43" fillId="0" borderId="24" xfId="7" applyFont="1" applyFill="1" applyBorder="1" applyAlignment="1">
      <alignment horizontal="center" vertical="center" wrapText="1"/>
    </xf>
    <xf numFmtId="43" fontId="42" fillId="0" borderId="24" xfId="2" applyFont="1" applyFill="1" applyBorder="1" applyAlignment="1">
      <alignment horizontal="center" vertical="center" wrapText="1"/>
    </xf>
    <xf numFmtId="2" fontId="7" fillId="2" borderId="4" xfId="0" applyNumberFormat="1" applyFont="1" applyFill="1" applyBorder="1"/>
    <xf numFmtId="0" fontId="11" fillId="4" borderId="4" xfId="0" applyNumberFormat="1" applyFont="1" applyFill="1" applyBorder="1" applyAlignment="1">
      <alignment horizontal="center"/>
    </xf>
    <xf numFmtId="2" fontId="11" fillId="4" borderId="4" xfId="0" applyNumberFormat="1" applyFont="1" applyFill="1" applyBorder="1"/>
    <xf numFmtId="4" fontId="11" fillId="4" borderId="4" xfId="0" applyNumberFormat="1" applyFont="1" applyFill="1" applyBorder="1"/>
    <xf numFmtId="2" fontId="11" fillId="4" borderId="0" xfId="0" applyNumberFormat="1" applyFont="1" applyFill="1"/>
    <xf numFmtId="2" fontId="7" fillId="2" borderId="4" xfId="0" applyNumberFormat="1" applyFont="1" applyFill="1" applyBorder="1" applyAlignment="1">
      <alignment horizontal="center"/>
    </xf>
    <xf numFmtId="4" fontId="2" fillId="3" borderId="4" xfId="0" applyNumberFormat="1" applyFont="1" applyFill="1" applyBorder="1" applyAlignment="1">
      <alignment vertical="center"/>
    </xf>
    <xf numFmtId="4" fontId="1" fillId="3" borderId="4" xfId="0" applyNumberFormat="1" applyFont="1" applyFill="1" applyBorder="1" applyAlignment="1">
      <alignment horizontal="center"/>
    </xf>
    <xf numFmtId="0" fontId="2" fillId="0" borderId="4" xfId="0" applyFont="1" applyBorder="1" applyAlignment="1">
      <alignment horizontal="left" vertical="center" wrapText="1"/>
    </xf>
    <xf numFmtId="4" fontId="11" fillId="2" borderId="4" xfId="0" applyNumberFormat="1" applyFont="1" applyFill="1" applyBorder="1" applyAlignment="1">
      <alignment horizontal="center"/>
    </xf>
    <xf numFmtId="0" fontId="2" fillId="2" borderId="0" xfId="0" applyFont="1" applyFill="1" applyAlignment="1">
      <alignment vertical="center"/>
    </xf>
    <xf numFmtId="0" fontId="2" fillId="0" borderId="0" xfId="0" applyFont="1" applyAlignment="1">
      <alignment vertical="center"/>
    </xf>
    <xf numFmtId="2" fontId="11" fillId="3" borderId="4" xfId="0" applyNumberFormat="1" applyFont="1" applyFill="1" applyBorder="1" applyAlignment="1">
      <alignment vertical="center" wrapText="1"/>
    </xf>
    <xf numFmtId="2" fontId="11" fillId="3" borderId="4" xfId="0" applyNumberFormat="1" applyFont="1" applyFill="1" applyBorder="1" applyAlignment="1">
      <alignment horizontal="center" vertical="center"/>
    </xf>
    <xf numFmtId="164" fontId="7" fillId="0" borderId="4" xfId="0" applyNumberFormat="1" applyFont="1" applyBorder="1" applyAlignment="1">
      <alignment horizontal="center" vertical="center"/>
    </xf>
    <xf numFmtId="2" fontId="7" fillId="0" borderId="4" xfId="0" applyNumberFormat="1" applyFont="1" applyBorder="1" applyAlignment="1">
      <alignment horizontal="center" vertical="center"/>
    </xf>
    <xf numFmtId="0" fontId="1" fillId="0" borderId="4" xfId="0" applyFont="1" applyBorder="1" applyAlignment="1">
      <alignment horizontal="center" vertical="center"/>
    </xf>
    <xf numFmtId="4" fontId="2" fillId="0" borderId="1" xfId="0" applyNumberFormat="1" applyFont="1" applyBorder="1" applyAlignment="1">
      <alignment horizontal="right" vertical="center"/>
    </xf>
    <xf numFmtId="10" fontId="2" fillId="0" borderId="3"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4" fontId="6" fillId="2" borderId="5" xfId="9" applyNumberFormat="1" applyFont="1" applyFill="1" applyBorder="1" applyAlignment="1">
      <alignment horizontal="left" vertical="center"/>
    </xf>
    <xf numFmtId="4" fontId="6" fillId="2" borderId="7" xfId="9" applyNumberFormat="1" applyFont="1" applyFill="1" applyBorder="1" applyAlignment="1">
      <alignment vertical="center"/>
    </xf>
    <xf numFmtId="4" fontId="12" fillId="0" borderId="0" xfId="9" applyNumberFormat="1" applyFont="1" applyAlignment="1">
      <alignment horizontal="center" vertical="center"/>
    </xf>
    <xf numFmtId="4" fontId="62" fillId="2" borderId="0" xfId="9" applyNumberFormat="1" applyFont="1" applyFill="1" applyBorder="1" applyAlignment="1">
      <alignment horizontal="left" vertical="center"/>
    </xf>
    <xf numFmtId="4" fontId="62" fillId="2" borderId="9" xfId="9" applyNumberFormat="1" applyFont="1" applyFill="1" applyBorder="1" applyAlignment="1">
      <alignment vertical="center"/>
    </xf>
    <xf numFmtId="4" fontId="6" fillId="2" borderId="0" xfId="9" applyNumberFormat="1" applyFont="1" applyFill="1" applyBorder="1" applyAlignment="1">
      <alignment horizontal="left" vertical="center"/>
    </xf>
    <xf numFmtId="4" fontId="6" fillId="2" borderId="9" xfId="9" applyNumberFormat="1" applyFont="1" applyFill="1" applyBorder="1" applyAlignment="1">
      <alignment vertical="center"/>
    </xf>
    <xf numFmtId="4" fontId="6" fillId="2" borderId="11" xfId="9" applyNumberFormat="1" applyFont="1" applyFill="1" applyBorder="1" applyAlignment="1">
      <alignment horizontal="left" vertical="center"/>
    </xf>
    <xf numFmtId="4" fontId="6" fillId="2" borderId="12" xfId="9" applyNumberFormat="1" applyFont="1" applyFill="1" applyBorder="1" applyAlignment="1">
      <alignment horizontal="left" vertical="center"/>
    </xf>
    <xf numFmtId="4" fontId="12" fillId="0" borderId="11" xfId="9" applyNumberFormat="1" applyFont="1" applyBorder="1" applyAlignment="1">
      <alignment horizontal="center" vertical="center"/>
    </xf>
    <xf numFmtId="4" fontId="15" fillId="10" borderId="4" xfId="9" applyNumberFormat="1" applyFont="1" applyFill="1" applyBorder="1" applyAlignment="1">
      <alignment horizontal="center" vertical="center"/>
    </xf>
    <xf numFmtId="4" fontId="12" fillId="2" borderId="0" xfId="9" applyNumberFormat="1" applyFont="1" applyFill="1" applyBorder="1" applyAlignment="1">
      <alignment horizontal="center" vertical="center"/>
    </xf>
    <xf numFmtId="4" fontId="12" fillId="2" borderId="0" xfId="9" applyNumberFormat="1" applyFont="1" applyFill="1" applyAlignment="1">
      <alignment horizontal="center" vertical="center"/>
    </xf>
    <xf numFmtId="0" fontId="1" fillId="0" borderId="4" xfId="0" applyFont="1" applyBorder="1" applyAlignment="1">
      <alignment horizontal="center" vertical="center"/>
    </xf>
    <xf numFmtId="4" fontId="16" fillId="0" borderId="4" xfId="9" applyNumberFormat="1" applyFont="1" applyFill="1" applyBorder="1" applyAlignment="1">
      <alignment horizontal="center" vertical="center"/>
    </xf>
    <xf numFmtId="4" fontId="16" fillId="0" borderId="4" xfId="9" applyNumberFormat="1" applyFont="1" applyFill="1" applyBorder="1" applyAlignment="1">
      <alignment horizontal="left" vertical="center" wrapText="1"/>
    </xf>
    <xf numFmtId="10" fontId="16" fillId="0" borderId="25" xfId="9" applyNumberFormat="1" applyFont="1" applyFill="1" applyBorder="1" applyAlignment="1">
      <alignment horizontal="right" vertical="center" wrapText="1"/>
    </xf>
    <xf numFmtId="10" fontId="16" fillId="0" borderId="24" xfId="9" applyNumberFormat="1" applyFont="1" applyFill="1" applyBorder="1" applyAlignment="1">
      <alignment horizontal="right" vertical="center" wrapText="1"/>
    </xf>
    <xf numFmtId="171" fontId="16" fillId="0" borderId="4" xfId="10" applyFont="1" applyFill="1" applyBorder="1" applyAlignment="1">
      <alignment horizontal="center" vertical="center" wrapText="1"/>
    </xf>
    <xf numFmtId="4" fontId="15" fillId="10" borderId="4" xfId="9" applyNumberFormat="1" applyFont="1" applyFill="1" applyBorder="1" applyAlignment="1">
      <alignment horizontal="center" vertical="center"/>
    </xf>
    <xf numFmtId="171" fontId="62" fillId="10" borderId="4" xfId="10" applyFont="1" applyFill="1" applyBorder="1" applyAlignment="1">
      <alignment horizontal="center" vertical="center"/>
    </xf>
    <xf numFmtId="171" fontId="15" fillId="10" borderId="4" xfId="10" applyFont="1" applyFill="1" applyBorder="1" applyAlignment="1">
      <alignment horizontal="center" vertical="center"/>
    </xf>
    <xf numFmtId="2" fontId="15" fillId="10" borderId="4" xfId="10" applyNumberFormat="1" applyFont="1" applyFill="1" applyBorder="1" applyAlignment="1">
      <alignment horizontal="right" vertical="center"/>
    </xf>
    <xf numFmtId="4" fontId="15" fillId="9" borderId="25" xfId="9" applyNumberFormat="1" applyFont="1" applyFill="1" applyBorder="1" applyAlignment="1">
      <alignment horizontal="center" vertical="center"/>
    </xf>
    <xf numFmtId="4" fontId="15" fillId="9" borderId="24" xfId="9" applyNumberFormat="1" applyFont="1" applyFill="1" applyBorder="1" applyAlignment="1">
      <alignment horizontal="center" vertical="center"/>
    </xf>
    <xf numFmtId="4" fontId="15" fillId="9" borderId="4" xfId="10" applyNumberFormat="1" applyFont="1" applyFill="1" applyBorder="1" applyAlignment="1">
      <alignment horizontal="center" vertical="center"/>
    </xf>
    <xf numFmtId="4" fontId="15" fillId="9" borderId="4" xfId="9" applyNumberFormat="1" applyFont="1" applyFill="1" applyBorder="1" applyAlignment="1">
      <alignment horizontal="center" vertical="center"/>
    </xf>
    <xf numFmtId="4" fontId="6" fillId="2" borderId="6" xfId="9" applyNumberFormat="1" applyFont="1" applyFill="1" applyBorder="1" applyAlignment="1">
      <alignment horizontal="left" vertical="center"/>
    </xf>
    <xf numFmtId="4" fontId="6" fillId="2" borderId="5" xfId="9" applyNumberFormat="1" applyFont="1" applyFill="1" applyBorder="1" applyAlignment="1">
      <alignment horizontal="left" vertical="center"/>
    </xf>
    <xf numFmtId="4" fontId="62" fillId="2" borderId="8" xfId="9" applyNumberFormat="1" applyFont="1" applyFill="1" applyBorder="1" applyAlignment="1">
      <alignment horizontal="left" vertical="center"/>
    </xf>
    <xf numFmtId="4" fontId="62" fillId="2" borderId="0" xfId="9" applyNumberFormat="1" applyFont="1" applyFill="1" applyBorder="1" applyAlignment="1">
      <alignment horizontal="left" vertical="center"/>
    </xf>
    <xf numFmtId="4" fontId="6" fillId="2" borderId="8" xfId="9" applyNumberFormat="1" applyFont="1" applyFill="1" applyBorder="1" applyAlignment="1">
      <alignment horizontal="left" vertical="center"/>
    </xf>
    <xf numFmtId="4" fontId="6" fillId="2" borderId="0" xfId="9" applyNumberFormat="1" applyFont="1" applyFill="1" applyBorder="1" applyAlignment="1">
      <alignment horizontal="left" vertical="center"/>
    </xf>
    <xf numFmtId="4" fontId="6" fillId="2" borderId="10" xfId="9" applyNumberFormat="1" applyFont="1" applyFill="1" applyBorder="1" applyAlignment="1">
      <alignment horizontal="left" vertical="center"/>
    </xf>
    <xf numFmtId="4" fontId="6" fillId="2" borderId="11" xfId="9" applyNumberFormat="1" applyFont="1" applyFill="1" applyBorder="1" applyAlignment="1">
      <alignment horizontal="lef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4" fontId="2" fillId="4" borderId="4" xfId="0" applyNumberFormat="1" applyFont="1" applyFill="1" applyBorder="1" applyAlignment="1">
      <alignment horizontal="center" vertical="center"/>
    </xf>
    <xf numFmtId="4" fontId="2" fillId="4" borderId="16"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2" xfId="0" applyFont="1" applyFill="1" applyBorder="1" applyAlignment="1">
      <alignment horizontal="center" vertical="center"/>
    </xf>
    <xf numFmtId="0" fontId="2" fillId="3" borderId="17" xfId="0" applyFont="1" applyFill="1" applyBorder="1" applyAlignment="1">
      <alignment horizontal="right" vertical="center"/>
    </xf>
    <xf numFmtId="0" fontId="2" fillId="3" borderId="18" xfId="0" applyFont="1" applyFill="1" applyBorder="1" applyAlignment="1">
      <alignment horizontal="right" vertical="center"/>
    </xf>
    <xf numFmtId="0" fontId="2" fillId="3" borderId="19" xfId="0" applyFont="1" applyFill="1" applyBorder="1" applyAlignment="1">
      <alignment horizontal="right" vertical="center"/>
    </xf>
    <xf numFmtId="4" fontId="2" fillId="3" borderId="20" xfId="0" applyNumberFormat="1" applyFont="1" applyFill="1" applyBorder="1" applyAlignment="1">
      <alignment horizontal="right" vertical="center"/>
    </xf>
    <xf numFmtId="4" fontId="2" fillId="3" borderId="21" xfId="0" applyNumberFormat="1" applyFont="1" applyFill="1" applyBorder="1" applyAlignment="1">
      <alignment horizontal="right" vertical="center"/>
    </xf>
    <xf numFmtId="0" fontId="2" fillId="3"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4" borderId="15" xfId="0" applyFont="1" applyFill="1" applyBorder="1" applyAlignment="1">
      <alignment horizontal="center" vertical="center"/>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14" fillId="0" borderId="1" xfId="0" applyNumberFormat="1" applyFont="1" applyBorder="1" applyAlignment="1">
      <alignment horizontal="center" vertical="center"/>
    </xf>
    <xf numFmtId="0" fontId="14" fillId="0" borderId="2" xfId="0" applyNumberFormat="1" applyFont="1" applyBorder="1" applyAlignment="1">
      <alignment horizontal="center" vertical="center"/>
    </xf>
    <xf numFmtId="0" fontId="14" fillId="0" borderId="3" xfId="0" applyNumberFormat="1" applyFont="1" applyBorder="1" applyAlignment="1">
      <alignment horizontal="center" vertical="center"/>
    </xf>
    <xf numFmtId="0" fontId="13" fillId="0" borderId="1" xfId="0" applyNumberFormat="1" applyFont="1" applyBorder="1" applyAlignment="1">
      <alignment horizontal="center" vertical="center"/>
    </xf>
    <xf numFmtId="0" fontId="13" fillId="0" borderId="2" xfId="0" applyNumberFormat="1" applyFont="1" applyBorder="1" applyAlignment="1">
      <alignment horizontal="center" vertical="center"/>
    </xf>
    <xf numFmtId="0" fontId="13" fillId="0" borderId="3" xfId="0" applyNumberFormat="1" applyFont="1" applyBorder="1" applyAlignment="1">
      <alignment horizontal="center" vertical="center"/>
    </xf>
    <xf numFmtId="2" fontId="7" fillId="0" borderId="4" xfId="0" applyNumberFormat="1" applyFont="1" applyBorder="1" applyAlignment="1">
      <alignment horizontal="center" vertical="center"/>
    </xf>
    <xf numFmtId="2" fontId="13" fillId="0" borderId="4" xfId="0" applyNumberFormat="1" applyFont="1" applyBorder="1" applyAlignment="1">
      <alignment horizontal="center" vertical="center"/>
    </xf>
    <xf numFmtId="0" fontId="13" fillId="0" borderId="4" xfId="0" applyNumberFormat="1" applyFont="1" applyBorder="1" applyAlignment="1">
      <alignment horizontal="center" vertical="center" wrapText="1"/>
    </xf>
    <xf numFmtId="2" fontId="5" fillId="0" borderId="13" xfId="0" applyNumberFormat="1" applyFont="1" applyBorder="1" applyAlignment="1">
      <alignment horizontal="center" vertical="center"/>
    </xf>
    <xf numFmtId="2" fontId="5" fillId="0" borderId="14" xfId="0" applyNumberFormat="1" applyFont="1" applyBorder="1" applyAlignment="1">
      <alignment horizontal="center" vertical="center"/>
    </xf>
    <xf numFmtId="2" fontId="5" fillId="0" borderId="4" xfId="0" applyNumberFormat="1" applyFont="1" applyBorder="1" applyAlignment="1">
      <alignment horizontal="center" vertical="center"/>
    </xf>
    <xf numFmtId="2" fontId="5" fillId="0" borderId="16" xfId="0" applyNumberFormat="1" applyFont="1" applyBorder="1" applyAlignment="1">
      <alignment horizontal="center" vertical="center"/>
    </xf>
    <xf numFmtId="2" fontId="2" fillId="0" borderId="0" xfId="0" applyNumberFormat="1" applyFont="1" applyBorder="1" applyAlignment="1">
      <alignment horizontal="left" vertical="center"/>
    </xf>
    <xf numFmtId="2" fontId="2" fillId="0" borderId="9" xfId="0" applyNumberFormat="1" applyFont="1" applyBorder="1" applyAlignment="1">
      <alignment horizontal="left" vertical="center"/>
    </xf>
    <xf numFmtId="0" fontId="10" fillId="0" borderId="4" xfId="0" applyNumberFormat="1" applyFont="1" applyFill="1" applyBorder="1" applyAlignment="1">
      <alignment horizontal="center" vertical="center"/>
    </xf>
    <xf numFmtId="0" fontId="13" fillId="0" borderId="4" xfId="0" applyNumberFormat="1" applyFont="1" applyBorder="1" applyAlignment="1">
      <alignment horizontal="center" wrapText="1"/>
    </xf>
    <xf numFmtId="0" fontId="7" fillId="0" borderId="4" xfId="0" applyNumberFormat="1" applyFont="1" applyBorder="1" applyAlignment="1">
      <alignment horizontal="center" wrapText="1"/>
    </xf>
    <xf numFmtId="0" fontId="14" fillId="0" borderId="4" xfId="0" applyNumberFormat="1" applyFont="1" applyBorder="1" applyAlignment="1">
      <alignment horizontal="center" vertical="center"/>
    </xf>
    <xf numFmtId="2" fontId="13" fillId="0" borderId="4" xfId="2" applyNumberFormat="1" applyFont="1" applyBorder="1" applyAlignment="1">
      <alignment horizontal="center" vertical="center"/>
    </xf>
    <xf numFmtId="0" fontId="13" fillId="0" borderId="4" xfId="0" applyNumberFormat="1" applyFont="1" applyBorder="1" applyAlignment="1">
      <alignment horizontal="center" vertical="center"/>
    </xf>
    <xf numFmtId="0" fontId="1" fillId="2" borderId="0" xfId="0" applyFont="1" applyFill="1" applyAlignment="1">
      <alignment horizont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1" fillId="0" borderId="4" xfId="0" applyFont="1" applyBorder="1" applyAlignment="1">
      <alignment horizontal="center" vertical="center"/>
    </xf>
    <xf numFmtId="0" fontId="2" fillId="5" borderId="4" xfId="0" applyFont="1" applyFill="1" applyBorder="1" applyAlignment="1">
      <alignment horizontal="right"/>
    </xf>
    <xf numFmtId="0" fontId="11" fillId="0" borderId="4" xfId="0" applyFont="1" applyBorder="1" applyAlignment="1">
      <alignment horizontal="center"/>
    </xf>
    <xf numFmtId="0" fontId="21" fillId="0" borderId="0" xfId="3" applyFont="1" applyAlignment="1" applyProtection="1"/>
    <xf numFmtId="10" fontId="28" fillId="8" borderId="6" xfId="4" applyNumberFormat="1" applyFont="1" applyFill="1" applyBorder="1" applyAlignment="1" applyProtection="1">
      <alignment horizontal="center" vertical="center" wrapText="1"/>
    </xf>
    <xf numFmtId="10" fontId="28" fillId="8" borderId="7" xfId="4" applyNumberFormat="1" applyFont="1" applyFill="1" applyBorder="1" applyAlignment="1" applyProtection="1">
      <alignment horizontal="center" vertical="center" wrapText="1"/>
    </xf>
    <xf numFmtId="10" fontId="28" fillId="8" borderId="10" xfId="4" applyNumberFormat="1" applyFont="1" applyFill="1" applyBorder="1" applyAlignment="1" applyProtection="1">
      <alignment horizontal="center" vertical="center" wrapText="1"/>
    </xf>
    <xf numFmtId="10" fontId="28" fillId="8" borderId="12" xfId="4" applyNumberFormat="1" applyFont="1" applyFill="1" applyBorder="1" applyAlignment="1" applyProtection="1">
      <alignment horizontal="center" vertical="center" wrapText="1"/>
    </xf>
    <xf numFmtId="0" fontId="15" fillId="0" borderId="0" xfId="0" applyNumberFormat="1" applyFont="1" applyBorder="1" applyAlignment="1">
      <alignment horizontal="left"/>
    </xf>
    <xf numFmtId="10" fontId="17" fillId="7" borderId="0" xfId="0" applyNumberFormat="1" applyFont="1" applyFill="1" applyBorder="1" applyAlignment="1" applyProtection="1">
      <alignment vertical="center" wrapText="1"/>
      <protection locked="0"/>
    </xf>
    <xf numFmtId="0" fontId="42" fillId="4" borderId="1" xfId="7" applyFont="1" applyFill="1" applyBorder="1" applyAlignment="1">
      <alignment horizontal="center" vertical="center" wrapText="1"/>
    </xf>
    <xf numFmtId="0" fontId="42" fillId="4" borderId="3" xfId="7" applyFont="1" applyFill="1" applyBorder="1" applyAlignment="1">
      <alignment horizontal="center" vertical="center" wrapText="1"/>
    </xf>
    <xf numFmtId="0" fontId="44" fillId="0" borderId="5" xfId="8" applyFont="1" applyFill="1" applyBorder="1" applyAlignment="1">
      <alignment horizontal="left" vertical="center"/>
    </xf>
    <xf numFmtId="4" fontId="1" fillId="3" borderId="0" xfId="0" applyNumberFormat="1" applyFont="1" applyFill="1"/>
  </cellXfs>
  <cellStyles count="84">
    <cellStyle name="20% - Accent1" xfId="11"/>
    <cellStyle name="20% - Accent2" xfId="12"/>
    <cellStyle name="20% - Accent3" xfId="13"/>
    <cellStyle name="20% - Accent4" xfId="14"/>
    <cellStyle name="20% - Accent5" xfId="15"/>
    <cellStyle name="20% - Accent6" xfId="16"/>
    <cellStyle name="40% - Accent1" xfId="17"/>
    <cellStyle name="40% - Accent2" xfId="18"/>
    <cellStyle name="40% - Accent3" xfId="19"/>
    <cellStyle name="40% - Accent4" xfId="20"/>
    <cellStyle name="40% - Accent5" xfId="21"/>
    <cellStyle name="40% - Accent6" xfId="22"/>
    <cellStyle name="60% - Accent1" xfId="23"/>
    <cellStyle name="60% - Accent2" xfId="24"/>
    <cellStyle name="60% - Accent3" xfId="25"/>
    <cellStyle name="60% - Accent4" xfId="26"/>
    <cellStyle name="60% - Accent5" xfId="27"/>
    <cellStyle name="60% - Accent6" xfId="28"/>
    <cellStyle name="Accent1" xfId="29"/>
    <cellStyle name="Accent2" xfId="30"/>
    <cellStyle name="Accent3" xfId="31"/>
    <cellStyle name="Accent4" xfId="32"/>
    <cellStyle name="Accent5" xfId="33"/>
    <cellStyle name="Accent6" xfId="34"/>
    <cellStyle name="asd" xfId="35"/>
    <cellStyle name="Bad" xfId="36"/>
    <cellStyle name="Calculation" xfId="37"/>
    <cellStyle name="Check Cell" xfId="38"/>
    <cellStyle name="Comma 2" xfId="39"/>
    <cellStyle name="Comma 2 2" xfId="40"/>
    <cellStyle name="Euro" xfId="41"/>
    <cellStyle name="Euro 2" xfId="42"/>
    <cellStyle name="Excel Built-in Normal" xfId="6"/>
    <cellStyle name="Explanatory Text" xfId="43"/>
    <cellStyle name="Good" xfId="44"/>
    <cellStyle name="Heading 1" xfId="45"/>
    <cellStyle name="Heading 2" xfId="46"/>
    <cellStyle name="Heading 3" xfId="47"/>
    <cellStyle name="Heading 4" xfId="48"/>
    <cellStyle name="Input" xfId="49"/>
    <cellStyle name="Linked Cell" xfId="50"/>
    <cellStyle name="Moeda 2" xfId="51"/>
    <cellStyle name="Neutral" xfId="52"/>
    <cellStyle name="Normal" xfId="0" builtinId="0"/>
    <cellStyle name="Normal 2" xfId="3"/>
    <cellStyle name="Normal 3" xfId="9"/>
    <cellStyle name="Normal 3 2" xfId="53"/>
    <cellStyle name="Normal 4" xfId="54"/>
    <cellStyle name="Normal 4 2" xfId="55"/>
    <cellStyle name="Normal 4 2 2" xfId="56"/>
    <cellStyle name="Normal 4 3" xfId="57"/>
    <cellStyle name="Normal 4 3 2" xfId="58"/>
    <cellStyle name="Normal 5" xfId="59"/>
    <cellStyle name="Normal 6" xfId="60"/>
    <cellStyle name="Normal 7" xfId="8"/>
    <cellStyle name="Normal_Pesquisa no referencial 10 de maio de 2013" xfId="7"/>
    <cellStyle name="Note" xfId="61"/>
    <cellStyle name="Note 2" xfId="62"/>
    <cellStyle name="Output" xfId="63"/>
    <cellStyle name="Percent 2" xfId="64"/>
    <cellStyle name="Percent 2 2" xfId="65"/>
    <cellStyle name="Porcentagem" xfId="1" builtinId="5"/>
    <cellStyle name="Porcentagem 2" xfId="4"/>
    <cellStyle name="Porcentagem 2 2" xfId="5"/>
    <cellStyle name="Porcentagem 2 2 2" xfId="66"/>
    <cellStyle name="Porcentagem 2 3" xfId="67"/>
    <cellStyle name="Separador de milhares 2" xfId="68"/>
    <cellStyle name="Separador de milhares 2 2" xfId="69"/>
    <cellStyle name="Separador de milhares 2 3" xfId="70"/>
    <cellStyle name="Separador de milhares 3" xfId="71"/>
    <cellStyle name="Separador de milhares 3 2" xfId="72"/>
    <cellStyle name="Separador de milhares 6" xfId="73"/>
    <cellStyle name="Separador de milhares 6 2" xfId="74"/>
    <cellStyle name="Title" xfId="75"/>
    <cellStyle name="Título 1 1" xfId="76"/>
    <cellStyle name="Título 1 1 1" xfId="77"/>
    <cellStyle name="Vírgula" xfId="2" builtinId="3"/>
    <cellStyle name="Vírgula 2" xfId="10"/>
    <cellStyle name="Vírgula 2 2" xfId="78"/>
    <cellStyle name="Vírgula 3" xfId="79"/>
    <cellStyle name="Vírgula 3 2" xfId="80"/>
    <cellStyle name="Vírgula 4" xfId="81"/>
    <cellStyle name="Vírgula 5" xfId="82"/>
    <cellStyle name="Warning Text" xfId="83"/>
  </cellStyles>
  <dxfs count="21">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font>
        <condense val="0"/>
        <extend val="0"/>
        <color indexed="1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gor%20Dominicini\Downloads\Modelo%20de%20Detalhamento%20do%20%20BDI%20V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hamento do BDI"/>
      <sheetName val="Auxiliar"/>
    </sheetNames>
    <sheetDataSet>
      <sheetData sheetId="0"/>
      <sheetData sheetId="1">
        <row r="17">
          <cell r="A17" t="str">
            <v>Atende</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view="pageBreakPreview" zoomScale="80" zoomScaleNormal="100" zoomScaleSheetLayoutView="80" workbookViewId="0">
      <selection activeCell="B14" sqref="B14:B15"/>
    </sheetView>
  </sheetViews>
  <sheetFormatPr defaultColWidth="10.7109375" defaultRowHeight="15" customHeight="1" x14ac:dyDescent="0.25"/>
  <cols>
    <col min="1" max="1" width="20.7109375" style="236" customWidth="1"/>
    <col min="2" max="2" width="82.140625" style="236" customWidth="1"/>
    <col min="3" max="3" width="10.7109375" style="236" customWidth="1"/>
    <col min="4" max="4" width="40.7109375" style="236" customWidth="1"/>
    <col min="5" max="16384" width="10.7109375" style="236"/>
  </cols>
  <sheetData>
    <row r="1" spans="1:4" ht="15" customHeight="1" x14ac:dyDescent="0.25">
      <c r="A1" s="261" t="s">
        <v>432</v>
      </c>
      <c r="B1" s="262"/>
      <c r="C1" s="234"/>
      <c r="D1" s="235"/>
    </row>
    <row r="2" spans="1:4" ht="15" customHeight="1" x14ac:dyDescent="0.25">
      <c r="A2" s="263" t="s">
        <v>404</v>
      </c>
      <c r="B2" s="264"/>
      <c r="C2" s="237"/>
      <c r="D2" s="238"/>
    </row>
    <row r="3" spans="1:4" ht="15" customHeight="1" x14ac:dyDescent="0.25">
      <c r="A3" s="265" t="s">
        <v>433</v>
      </c>
      <c r="B3" s="266"/>
      <c r="C3" s="239"/>
      <c r="D3" s="240"/>
    </row>
    <row r="4" spans="1:4" ht="15" customHeight="1" x14ac:dyDescent="0.25">
      <c r="A4" s="265" t="s">
        <v>405</v>
      </c>
      <c r="B4" s="266"/>
      <c r="C4" s="239"/>
      <c r="D4" s="240"/>
    </row>
    <row r="5" spans="1:4" s="243" customFormat="1" ht="15" customHeight="1" x14ac:dyDescent="0.25">
      <c r="A5" s="267" t="s">
        <v>406</v>
      </c>
      <c r="B5" s="268"/>
      <c r="C5" s="241"/>
      <c r="D5" s="242"/>
    </row>
    <row r="6" spans="1:4" ht="15" customHeight="1" x14ac:dyDescent="0.25">
      <c r="A6" s="260" t="s">
        <v>407</v>
      </c>
      <c r="B6" s="260" t="s">
        <v>408</v>
      </c>
      <c r="C6" s="257" t="s">
        <v>187</v>
      </c>
      <c r="D6" s="259" t="s">
        <v>409</v>
      </c>
    </row>
    <row r="7" spans="1:4" ht="15" customHeight="1" x14ac:dyDescent="0.25">
      <c r="A7" s="260"/>
      <c r="B7" s="260"/>
      <c r="C7" s="258"/>
      <c r="D7" s="259"/>
    </row>
    <row r="8" spans="1:4" ht="15" customHeight="1" x14ac:dyDescent="0.25">
      <c r="A8" s="248" t="s">
        <v>410</v>
      </c>
      <c r="B8" s="249" t="str">
        <f>'CRONOGRAMA FÍSICO-FINANCEIRO'!B6</f>
        <v>SERVIÇOS PRELIMINARES</v>
      </c>
      <c r="C8" s="250">
        <f>D8/$C$40</f>
        <v>3.3970065688403613E-2</v>
      </c>
      <c r="D8" s="252">
        <f>'CRONOGRAMA FÍSICO-FINANCEIRO'!C6</f>
        <v>14679.014515999999</v>
      </c>
    </row>
    <row r="9" spans="1:4" ht="15" customHeight="1" x14ac:dyDescent="0.25">
      <c r="A9" s="248"/>
      <c r="B9" s="249"/>
      <c r="C9" s="251"/>
      <c r="D9" s="252"/>
    </row>
    <row r="10" spans="1:4" ht="15" customHeight="1" x14ac:dyDescent="0.25">
      <c r="A10" s="248" t="s">
        <v>411</v>
      </c>
      <c r="B10" s="249" t="str">
        <f>'CRONOGRAMA FÍSICO-FINANCEIRO'!B7</f>
        <v>MOVIMENTAÇÃO DE TERRA</v>
      </c>
      <c r="C10" s="250">
        <f t="shared" ref="C10" si="0">D10/$C$40</f>
        <v>1.7593504074001325E-2</v>
      </c>
      <c r="D10" s="252">
        <f>'CRONOGRAMA FÍSICO-FINANCEIRO'!C7</f>
        <v>7602.4375124400003</v>
      </c>
    </row>
    <row r="11" spans="1:4" ht="15" customHeight="1" x14ac:dyDescent="0.25">
      <c r="A11" s="248"/>
      <c r="B11" s="249"/>
      <c r="C11" s="251"/>
      <c r="D11" s="252"/>
    </row>
    <row r="12" spans="1:4" ht="15" customHeight="1" x14ac:dyDescent="0.25">
      <c r="A12" s="248" t="s">
        <v>412</v>
      </c>
      <c r="B12" s="249" t="str">
        <f>'CRONOGRAMA FÍSICO-FINANCEIRO'!B8</f>
        <v>INFRA-ESTRUTURA</v>
      </c>
      <c r="C12" s="250">
        <f t="shared" ref="C12" si="1">D12/$C$40</f>
        <v>3.3147304634194033E-2</v>
      </c>
      <c r="D12" s="252">
        <f>'CRONOGRAMA FÍSICO-FINANCEIRO'!C8</f>
        <v>14323.486164399999</v>
      </c>
    </row>
    <row r="13" spans="1:4" ht="15" customHeight="1" x14ac:dyDescent="0.25">
      <c r="A13" s="248"/>
      <c r="B13" s="249"/>
      <c r="C13" s="251"/>
      <c r="D13" s="252"/>
    </row>
    <row r="14" spans="1:4" ht="15" customHeight="1" x14ac:dyDescent="0.25">
      <c r="A14" s="248" t="s">
        <v>413</v>
      </c>
      <c r="B14" s="249" t="str">
        <f>'CRONOGRAMA FÍSICO-FINANCEIRO'!B9</f>
        <v>SUPERESTRUTURA</v>
      </c>
      <c r="C14" s="250">
        <f t="shared" ref="C14" si="2">D14/$C$40</f>
        <v>0.37143998705804254</v>
      </c>
      <c r="D14" s="252">
        <f>'CRONOGRAMA FÍSICO-FINANCEIRO'!C9</f>
        <v>160505.22280000005</v>
      </c>
    </row>
    <row r="15" spans="1:4" ht="15" customHeight="1" x14ac:dyDescent="0.25">
      <c r="A15" s="248"/>
      <c r="B15" s="249"/>
      <c r="C15" s="251"/>
      <c r="D15" s="252"/>
    </row>
    <row r="16" spans="1:4" ht="15" customHeight="1" x14ac:dyDescent="0.25">
      <c r="A16" s="248" t="s">
        <v>414</v>
      </c>
      <c r="B16" s="249" t="str">
        <f>'CRONOGRAMA FÍSICO-FINANCEIRO'!B10</f>
        <v>VEDAÇÃO</v>
      </c>
      <c r="C16" s="250">
        <f t="shared" ref="C16" si="3">D16/$C$40</f>
        <v>1.2509805477461382E-3</v>
      </c>
      <c r="D16" s="252">
        <f>'CRONOGRAMA FÍSICO-FINANCEIRO'!C10</f>
        <v>540.56891699999983</v>
      </c>
    </row>
    <row r="17" spans="1:4" ht="15" customHeight="1" x14ac:dyDescent="0.25">
      <c r="A17" s="248"/>
      <c r="B17" s="249"/>
      <c r="C17" s="251"/>
      <c r="D17" s="252"/>
    </row>
    <row r="18" spans="1:4" ht="15" customHeight="1" x14ac:dyDescent="0.25">
      <c r="A18" s="248" t="s">
        <v>415</v>
      </c>
      <c r="B18" s="249" t="str">
        <f>'CRONOGRAMA FÍSICO-FINANCEIRO'!B11</f>
        <v>ESQUADRIAS</v>
      </c>
      <c r="C18" s="250">
        <f t="shared" ref="C18" si="4">D18/$C$40</f>
        <v>1.0924559598674787E-2</v>
      </c>
      <c r="D18" s="252">
        <f>'CRONOGRAMA FÍSICO-FINANCEIRO'!C11</f>
        <v>4720.6787999999997</v>
      </c>
    </row>
    <row r="19" spans="1:4" ht="15" customHeight="1" x14ac:dyDescent="0.25">
      <c r="A19" s="248"/>
      <c r="B19" s="249"/>
      <c r="C19" s="251"/>
      <c r="D19" s="252"/>
    </row>
    <row r="20" spans="1:4" ht="15" customHeight="1" x14ac:dyDescent="0.25">
      <c r="A20" s="248" t="s">
        <v>416</v>
      </c>
      <c r="B20" s="249" t="str">
        <f>'CRONOGRAMA FÍSICO-FINANCEIRO'!B12</f>
        <v>COBERTURA</v>
      </c>
      <c r="C20" s="250">
        <f t="shared" ref="C20" si="5">D20/$C$40</f>
        <v>7.3570242620980317E-2</v>
      </c>
      <c r="D20" s="252">
        <f>'CRONOGRAMA FÍSICO-FINANCEIRO'!C12</f>
        <v>31790.891112338104</v>
      </c>
    </row>
    <row r="21" spans="1:4" ht="15" customHeight="1" x14ac:dyDescent="0.25">
      <c r="A21" s="248"/>
      <c r="B21" s="249"/>
      <c r="C21" s="251"/>
      <c r="D21" s="252"/>
    </row>
    <row r="22" spans="1:4" ht="15" customHeight="1" x14ac:dyDescent="0.25">
      <c r="A22" s="248" t="s">
        <v>423</v>
      </c>
      <c r="B22" s="249" t="str">
        <f>'CRONOGRAMA FÍSICO-FINANCEIRO'!B13</f>
        <v>INSTALAÇÕES ELÉTRICAS</v>
      </c>
      <c r="C22" s="250">
        <f>D22/$C$40</f>
        <v>1.4218627987495817E-2</v>
      </c>
      <c r="D22" s="252">
        <f>'CRONOGRAMA FÍSICO-FINANCEIRO'!C13</f>
        <v>6144.0990000000002</v>
      </c>
    </row>
    <row r="23" spans="1:4" ht="15" customHeight="1" x14ac:dyDescent="0.25">
      <c r="A23" s="248"/>
      <c r="B23" s="249"/>
      <c r="C23" s="251"/>
      <c r="D23" s="252"/>
    </row>
    <row r="24" spans="1:4" ht="15" customHeight="1" x14ac:dyDescent="0.25">
      <c r="A24" s="248" t="s">
        <v>424</v>
      </c>
      <c r="B24" s="249" t="str">
        <f>'CRONOGRAMA FÍSICO-FINANCEIRO'!B14</f>
        <v>INSTALAÇÕES HIDROSSANITÁRIAS</v>
      </c>
      <c r="C24" s="250">
        <f t="shared" ref="C24" si="6">D24/$C$40</f>
        <v>1.8810911174121078E-2</v>
      </c>
      <c r="D24" s="252">
        <f>'CRONOGRAMA FÍSICO-FINANCEIRO'!C14</f>
        <v>8128.4987999999994</v>
      </c>
    </row>
    <row r="25" spans="1:4" ht="15" customHeight="1" x14ac:dyDescent="0.25">
      <c r="A25" s="248"/>
      <c r="B25" s="249"/>
      <c r="C25" s="251"/>
      <c r="D25" s="252"/>
    </row>
    <row r="26" spans="1:4" ht="15" customHeight="1" x14ac:dyDescent="0.25">
      <c r="A26" s="248" t="s">
        <v>425</v>
      </c>
      <c r="B26" s="249" t="str">
        <f>'CRONOGRAMA FÍSICO-FINANCEIRO'!B15</f>
        <v>INSTALAÇÃO DE COMBATE A INCÊNDIO</v>
      </c>
      <c r="C26" s="250">
        <f t="shared" ref="C26" si="7">D26/$C$40</f>
        <v>3.2798985301268346E-2</v>
      </c>
      <c r="D26" s="252">
        <f>'CRONOGRAMA FÍSICO-FINANCEIRO'!C15</f>
        <v>14172.971750000001</v>
      </c>
    </row>
    <row r="27" spans="1:4" ht="15" customHeight="1" x14ac:dyDescent="0.25">
      <c r="A27" s="248"/>
      <c r="B27" s="249"/>
      <c r="C27" s="251"/>
      <c r="D27" s="252"/>
    </row>
    <row r="28" spans="1:4" ht="15" customHeight="1" x14ac:dyDescent="0.25">
      <c r="A28" s="248" t="s">
        <v>426</v>
      </c>
      <c r="B28" s="249" t="str">
        <f>'CRONOGRAMA FÍSICO-FINANCEIRO'!B16</f>
        <v>REVESTIMENTO</v>
      </c>
      <c r="C28" s="250">
        <f t="shared" ref="C28" si="8">D28/$C$40</f>
        <v>1.0105413895442343E-3</v>
      </c>
      <c r="D28" s="252">
        <f>'CRONOGRAMA FÍSICO-FINANCEIRO'!C16</f>
        <v>436.67126999999994</v>
      </c>
    </row>
    <row r="29" spans="1:4" ht="15" customHeight="1" x14ac:dyDescent="0.25">
      <c r="A29" s="248"/>
      <c r="B29" s="249"/>
      <c r="C29" s="251"/>
      <c r="D29" s="252"/>
    </row>
    <row r="30" spans="1:4" ht="15" customHeight="1" x14ac:dyDescent="0.25">
      <c r="A30" s="248" t="s">
        <v>427</v>
      </c>
      <c r="B30" s="249" t="str">
        <f>'CRONOGRAMA FÍSICO-FINANCEIRO'!B17</f>
        <v>PAVIMENTAÇÃO</v>
      </c>
      <c r="C30" s="250">
        <f t="shared" ref="C30" si="9">D30/$C$40</f>
        <v>0.24895669621527985</v>
      </c>
      <c r="D30" s="252">
        <f>'CRONOGRAMA FÍSICO-FINANCEIRO'!C17</f>
        <v>107578.21286306826</v>
      </c>
    </row>
    <row r="31" spans="1:4" ht="15" customHeight="1" x14ac:dyDescent="0.25">
      <c r="A31" s="248"/>
      <c r="B31" s="249"/>
      <c r="C31" s="251"/>
      <c r="D31" s="252"/>
    </row>
    <row r="32" spans="1:4" ht="15" customHeight="1" x14ac:dyDescent="0.25">
      <c r="A32" s="248" t="s">
        <v>428</v>
      </c>
      <c r="B32" s="249" t="str">
        <f>'CRONOGRAMA FÍSICO-FINANCEIRO'!B18</f>
        <v>PINTURA</v>
      </c>
      <c r="C32" s="250">
        <f t="shared" ref="C32" si="10">D32/$C$40</f>
        <v>8.1370283916127224E-3</v>
      </c>
      <c r="D32" s="252">
        <f>'CRONOGRAMA FÍSICO-FINANCEIRO'!C18</f>
        <v>3516.1415044999994</v>
      </c>
    </row>
    <row r="33" spans="1:4" ht="15" customHeight="1" x14ac:dyDescent="0.25">
      <c r="A33" s="248"/>
      <c r="B33" s="249"/>
      <c r="C33" s="251"/>
      <c r="D33" s="252"/>
    </row>
    <row r="34" spans="1:4" ht="15" customHeight="1" x14ac:dyDescent="0.25">
      <c r="A34" s="248" t="s">
        <v>429</v>
      </c>
      <c r="B34" s="249" t="str">
        <f>'CRONOGRAMA FÍSICO-FINANCEIRO'!B19</f>
        <v>ESCADA/RAMPA/PATAMAR</v>
      </c>
      <c r="C34" s="250">
        <f t="shared" ref="C34" si="11">D34/$C$40</f>
        <v>2.08688804499958E-2</v>
      </c>
      <c r="D34" s="252">
        <f>'CRONOGRAMA FÍSICO-FINANCEIRO'!C19</f>
        <v>9017.7805915379977</v>
      </c>
    </row>
    <row r="35" spans="1:4" ht="15" customHeight="1" x14ac:dyDescent="0.25">
      <c r="A35" s="248"/>
      <c r="B35" s="249"/>
      <c r="C35" s="251"/>
      <c r="D35" s="252"/>
    </row>
    <row r="36" spans="1:4" ht="15" customHeight="1" x14ac:dyDescent="0.25">
      <c r="A36" s="248" t="s">
        <v>430</v>
      </c>
      <c r="B36" s="249" t="str">
        <f>'CRONOGRAMA FÍSICO-FINANCEIRO'!B20</f>
        <v>COMPLEMENTAÇÃO DA OBRA</v>
      </c>
      <c r="C36" s="250">
        <f t="shared" ref="C36" si="12">D36/$C$40</f>
        <v>9.6008807160669757E-2</v>
      </c>
      <c r="D36" s="252">
        <f>'CRONOGRAMA FÍSICO-FINANCEIRO'!C20</f>
        <v>41486.957573249994</v>
      </c>
    </row>
    <row r="37" spans="1:4" ht="15" customHeight="1" x14ac:dyDescent="0.25">
      <c r="A37" s="248"/>
      <c r="B37" s="249"/>
      <c r="C37" s="251"/>
      <c r="D37" s="252"/>
    </row>
    <row r="38" spans="1:4" ht="15" customHeight="1" x14ac:dyDescent="0.25">
      <c r="A38" s="248" t="s">
        <v>431</v>
      </c>
      <c r="B38" s="249" t="str">
        <f>'CRONOGRAMA FÍSICO-FINANCEIRO'!B21</f>
        <v>ADMINISTRAÇÃO LOCAL</v>
      </c>
      <c r="C38" s="250">
        <f t="shared" ref="C38" si="13">D38/$C$40</f>
        <v>1.729287770796956E-2</v>
      </c>
      <c r="D38" s="252">
        <f>'CRONOGRAMA FÍSICO-FINANCEIRO'!C21</f>
        <v>7472.5319999999992</v>
      </c>
    </row>
    <row r="39" spans="1:4" ht="15" customHeight="1" x14ac:dyDescent="0.25">
      <c r="A39" s="248"/>
      <c r="B39" s="249"/>
      <c r="C39" s="251"/>
      <c r="D39" s="252"/>
    </row>
    <row r="40" spans="1:4" ht="20.100000000000001" customHeight="1" x14ac:dyDescent="0.25">
      <c r="A40" s="253" t="s">
        <v>417</v>
      </c>
      <c r="B40" s="244" t="s">
        <v>418</v>
      </c>
      <c r="C40" s="254">
        <f>SUM(D8:D39)</f>
        <v>432116.16517453443</v>
      </c>
      <c r="D40" s="254"/>
    </row>
    <row r="41" spans="1:4" ht="20.100000000000001" customHeight="1" x14ac:dyDescent="0.25">
      <c r="A41" s="253"/>
      <c r="B41" s="244" t="s">
        <v>419</v>
      </c>
      <c r="C41" s="255">
        <f>'PLANILHA QUANTITATIVA'!K9</f>
        <v>538.64</v>
      </c>
      <c r="D41" s="255"/>
    </row>
    <row r="42" spans="1:4" ht="20.100000000000001" customHeight="1" x14ac:dyDescent="0.25">
      <c r="A42" s="253"/>
      <c r="B42" s="244" t="s">
        <v>420</v>
      </c>
      <c r="C42" s="256">
        <f>C40/C41</f>
        <v>802.23556582232004</v>
      </c>
      <c r="D42" s="256"/>
    </row>
    <row r="43" spans="1:4" s="246" customFormat="1" ht="15" customHeight="1" x14ac:dyDescent="0.25">
      <c r="A43" s="245"/>
      <c r="B43" s="245"/>
      <c r="C43" s="245"/>
      <c r="D43" s="245"/>
    </row>
    <row r="44" spans="1:4" s="246" customFormat="1" ht="15" customHeight="1" x14ac:dyDescent="0.25">
      <c r="A44" s="245"/>
      <c r="B44" s="245"/>
      <c r="C44" s="245"/>
      <c r="D44" s="245"/>
    </row>
    <row r="45" spans="1:4" s="246" customFormat="1" ht="15" customHeight="1" x14ac:dyDescent="0.25">
      <c r="A45" s="245"/>
      <c r="B45" s="245"/>
      <c r="C45" s="245"/>
      <c r="D45" s="245"/>
    </row>
    <row r="46" spans="1:4" s="246" customFormat="1" ht="15" customHeight="1" x14ac:dyDescent="0.25">
      <c r="A46" s="245"/>
      <c r="B46" s="245"/>
      <c r="C46" s="245"/>
      <c r="D46" s="245"/>
    </row>
    <row r="47" spans="1:4" s="246" customFormat="1" ht="15" customHeight="1" x14ac:dyDescent="0.25">
      <c r="A47" s="245"/>
      <c r="C47" s="245"/>
      <c r="D47" s="245"/>
    </row>
    <row r="48" spans="1:4" s="246" customFormat="1" ht="15" customHeight="1" x14ac:dyDescent="0.25">
      <c r="A48" s="245"/>
      <c r="C48" s="245"/>
      <c r="D48" s="245"/>
    </row>
    <row r="49" spans="1:4" s="246" customFormat="1" ht="15" customHeight="1" x14ac:dyDescent="0.25">
      <c r="A49" s="245"/>
      <c r="B49" s="245"/>
      <c r="C49" s="245"/>
      <c r="D49" s="245"/>
    </row>
    <row r="50" spans="1:4" s="246" customFormat="1" ht="15" customHeight="1" x14ac:dyDescent="0.25"/>
    <row r="51" spans="1:4" s="246" customFormat="1" ht="15" customHeight="1" x14ac:dyDescent="0.25"/>
    <row r="52" spans="1:4" s="246" customFormat="1" ht="15" customHeight="1" x14ac:dyDescent="0.25"/>
    <row r="53" spans="1:4" s="246" customFormat="1" ht="15" customHeight="1" x14ac:dyDescent="0.25"/>
    <row r="54" spans="1:4" s="246" customFormat="1" ht="15" customHeight="1" x14ac:dyDescent="0.25"/>
    <row r="55" spans="1:4" s="246" customFormat="1" ht="15" customHeight="1" x14ac:dyDescent="0.25">
      <c r="B55" s="245" t="s">
        <v>421</v>
      </c>
    </row>
    <row r="56" spans="1:4" s="246" customFormat="1" ht="15" customHeight="1" x14ac:dyDescent="0.25">
      <c r="B56" s="245" t="s">
        <v>422</v>
      </c>
    </row>
    <row r="57" spans="1:4" s="246" customFormat="1" ht="15" customHeight="1" x14ac:dyDescent="0.25"/>
    <row r="58" spans="1:4" s="246" customFormat="1" ht="15" customHeight="1" x14ac:dyDescent="0.25"/>
    <row r="59" spans="1:4" s="246" customFormat="1" ht="15" customHeight="1" x14ac:dyDescent="0.25"/>
    <row r="60" spans="1:4" s="246" customFormat="1" ht="15" customHeight="1" x14ac:dyDescent="0.25"/>
    <row r="61" spans="1:4" s="246" customFormat="1" ht="15" customHeight="1" x14ac:dyDescent="0.25"/>
    <row r="62" spans="1:4" s="246" customFormat="1" ht="15" customHeight="1" x14ac:dyDescent="0.25"/>
    <row r="63" spans="1:4" s="246" customFormat="1" ht="15" customHeight="1" x14ac:dyDescent="0.25"/>
    <row r="64" spans="1:4" s="246" customFormat="1" ht="15" customHeight="1" x14ac:dyDescent="0.25"/>
    <row r="65" s="246" customFormat="1" ht="15" customHeight="1" x14ac:dyDescent="0.25"/>
    <row r="66" s="246" customFormat="1" ht="15" customHeight="1" x14ac:dyDescent="0.25"/>
    <row r="67" s="246" customFormat="1" ht="15" customHeight="1" x14ac:dyDescent="0.25"/>
    <row r="68" s="246" customFormat="1" ht="15" customHeight="1" x14ac:dyDescent="0.25"/>
    <row r="69" s="246" customFormat="1" ht="15" customHeight="1" x14ac:dyDescent="0.25"/>
    <row r="70" s="246" customFormat="1" ht="15" customHeight="1" x14ac:dyDescent="0.25"/>
    <row r="71" s="246" customFormat="1" ht="15" customHeight="1" x14ac:dyDescent="0.25"/>
    <row r="72" s="246" customFormat="1" ht="15" customHeight="1" x14ac:dyDescent="0.25"/>
    <row r="73" s="246" customFormat="1" ht="15" customHeight="1" x14ac:dyDescent="0.25"/>
    <row r="74" s="246" customFormat="1" ht="15" customHeight="1" x14ac:dyDescent="0.25"/>
    <row r="75" s="246" customFormat="1" ht="15" customHeight="1" x14ac:dyDescent="0.25"/>
    <row r="76" s="246" customFormat="1" ht="15" customHeight="1" x14ac:dyDescent="0.25"/>
    <row r="77" s="246" customFormat="1" ht="15" customHeight="1" x14ac:dyDescent="0.25"/>
  </sheetData>
  <mergeCells count="77">
    <mergeCell ref="A1:B1"/>
    <mergeCell ref="A2:B2"/>
    <mergeCell ref="A3:B3"/>
    <mergeCell ref="A4:B4"/>
    <mergeCell ref="A5:B5"/>
    <mergeCell ref="C6:C7"/>
    <mergeCell ref="D6:D7"/>
    <mergeCell ref="A8:A9"/>
    <mergeCell ref="B8:B9"/>
    <mergeCell ref="C8:C9"/>
    <mergeCell ref="D8:D9"/>
    <mergeCell ref="A6:A7"/>
    <mergeCell ref="B6:B7"/>
    <mergeCell ref="A10:A11"/>
    <mergeCell ref="B10:B11"/>
    <mergeCell ref="C10:C11"/>
    <mergeCell ref="D10:D11"/>
    <mergeCell ref="A12:A13"/>
    <mergeCell ref="B12:B13"/>
    <mergeCell ref="C12:C13"/>
    <mergeCell ref="D12:D13"/>
    <mergeCell ref="A14:A15"/>
    <mergeCell ref="B14:B15"/>
    <mergeCell ref="C14:C15"/>
    <mergeCell ref="D14:D15"/>
    <mergeCell ref="A16:A17"/>
    <mergeCell ref="B16:B17"/>
    <mergeCell ref="C16:C17"/>
    <mergeCell ref="D16:D17"/>
    <mergeCell ref="A40:A42"/>
    <mergeCell ref="C40:D40"/>
    <mergeCell ref="C41:D41"/>
    <mergeCell ref="C42:D42"/>
    <mergeCell ref="A18:A19"/>
    <mergeCell ref="B18:B19"/>
    <mergeCell ref="C18:C19"/>
    <mergeCell ref="D18:D19"/>
    <mergeCell ref="A20:A21"/>
    <mergeCell ref="B20:B21"/>
    <mergeCell ref="C20:C21"/>
    <mergeCell ref="D20:D21"/>
    <mergeCell ref="A22:A23"/>
    <mergeCell ref="B22:B23"/>
    <mergeCell ref="C22:C23"/>
    <mergeCell ref="D22:D23"/>
    <mergeCell ref="A24:A25"/>
    <mergeCell ref="B24:B25"/>
    <mergeCell ref="C24:C25"/>
    <mergeCell ref="D24:D25"/>
    <mergeCell ref="A26:A27"/>
    <mergeCell ref="B26:B27"/>
    <mergeCell ref="C26:C27"/>
    <mergeCell ref="D26:D27"/>
    <mergeCell ref="A28:A29"/>
    <mergeCell ref="B28:B29"/>
    <mergeCell ref="C28:C29"/>
    <mergeCell ref="D28:D29"/>
    <mergeCell ref="A30:A31"/>
    <mergeCell ref="B30:B31"/>
    <mergeCell ref="C30:C31"/>
    <mergeCell ref="D30:D31"/>
    <mergeCell ref="A32:A33"/>
    <mergeCell ref="B32:B33"/>
    <mergeCell ref="C32:C33"/>
    <mergeCell ref="D32:D33"/>
    <mergeCell ref="A38:A39"/>
    <mergeCell ref="B38:B39"/>
    <mergeCell ref="C38:C39"/>
    <mergeCell ref="D38:D39"/>
    <mergeCell ref="A34:A35"/>
    <mergeCell ref="B34:B35"/>
    <mergeCell ref="C34:C35"/>
    <mergeCell ref="D34:D35"/>
    <mergeCell ref="A36:A37"/>
    <mergeCell ref="B36:B37"/>
    <mergeCell ref="C36:C37"/>
    <mergeCell ref="D36:D37"/>
  </mergeCells>
  <printOptions horizontalCentered="1" gridLines="1"/>
  <pageMargins left="0.47244094488188981" right="0.23622047244094491" top="1.0817708333333333" bottom="0.74803149606299213" header="0.31496062992125984" footer="0.31496062992125984"/>
  <pageSetup paperSize="9" scale="62" fitToWidth="0" fitToHeight="0" orientation="portrait" r:id="rId1"/>
  <headerFooter alignWithMargins="0">
    <oddHeader>&amp;C&amp;G</oddHeader>
    <oddFooter>&amp;C&amp;"-,Itálico"Logradouro: Rua Elias Estevão Colnago, nº 65 – Centro - Itarana/ES. CEP 29620-000 
Tel.: (27) 3720-4900 – Site: www.itarana.es.gov.br – CNPJ: 27.104.363/0001-23</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0"/>
  <sheetViews>
    <sheetView view="pageBreakPreview" zoomScale="80" zoomScaleNormal="100" zoomScaleSheetLayoutView="80" zoomScalePageLayoutView="80" workbookViewId="0">
      <pane xSplit="9" ySplit="7" topLeftCell="J79" activePane="bottomRight" state="frozen"/>
      <selection pane="topRight" activeCell="J1" sqref="J1"/>
      <selection pane="bottomLeft" activeCell="A8" sqref="A8"/>
      <selection pane="bottomRight" activeCell="D17" sqref="D17"/>
    </sheetView>
  </sheetViews>
  <sheetFormatPr defaultRowHeight="17.25" x14ac:dyDescent="0.25"/>
  <cols>
    <col min="1" max="1" width="9.140625" style="12"/>
    <col min="2" max="2" width="11.28515625" style="12" customWidth="1"/>
    <col min="3" max="3" width="13.28515625" style="12" customWidth="1"/>
    <col min="4" max="4" width="78.7109375" style="1" customWidth="1"/>
    <col min="5" max="5" width="10.140625" style="12" customWidth="1"/>
    <col min="6" max="6" width="12.5703125" style="13" customWidth="1"/>
    <col min="7" max="7" width="20.140625" style="13" customWidth="1"/>
    <col min="8" max="8" width="19.85546875" style="13" bestFit="1" customWidth="1"/>
    <col min="9" max="9" width="12.7109375" style="13" bestFit="1" customWidth="1"/>
    <col min="10" max="10" width="16.28515625" style="1" bestFit="1" customWidth="1"/>
    <col min="11" max="12" width="9.140625" style="1"/>
    <col min="13" max="13" width="11.42578125" style="1" bestFit="1" customWidth="1"/>
    <col min="14" max="14" width="16.28515625" style="1" bestFit="1" customWidth="1"/>
    <col min="15" max="16384" width="9.140625" style="1"/>
  </cols>
  <sheetData>
    <row r="1" spans="1:13" ht="18" x14ac:dyDescent="0.25">
      <c r="A1" s="269" t="s">
        <v>0</v>
      </c>
      <c r="B1" s="269"/>
      <c r="C1" s="269"/>
      <c r="D1" s="269"/>
      <c r="E1" s="269"/>
      <c r="F1" s="269"/>
      <c r="G1" s="269"/>
      <c r="H1" s="269"/>
      <c r="I1" s="270"/>
      <c r="J1" s="11"/>
    </row>
    <row r="2" spans="1:13" x14ac:dyDescent="0.25">
      <c r="A2" s="290" t="s">
        <v>97</v>
      </c>
      <c r="B2" s="290"/>
      <c r="C2" s="290"/>
      <c r="D2" s="290"/>
      <c r="E2" s="288" t="s">
        <v>99</v>
      </c>
      <c r="F2" s="288"/>
      <c r="G2" s="288"/>
      <c r="H2" s="288"/>
      <c r="I2" s="288"/>
      <c r="J2" s="11"/>
    </row>
    <row r="3" spans="1:13" x14ac:dyDescent="0.25">
      <c r="A3" s="291" t="s">
        <v>216</v>
      </c>
      <c r="B3" s="292"/>
      <c r="C3" s="292"/>
      <c r="D3" s="293"/>
      <c r="E3" s="289" t="s">
        <v>434</v>
      </c>
      <c r="F3" s="288"/>
      <c r="G3" s="288"/>
      <c r="H3" s="230" t="s">
        <v>174</v>
      </c>
      <c r="I3" s="231">
        <v>0.28499999999999998</v>
      </c>
      <c r="J3" s="11"/>
    </row>
    <row r="4" spans="1:13" x14ac:dyDescent="0.25">
      <c r="A4" s="295" t="s">
        <v>100</v>
      </c>
      <c r="B4" s="296"/>
      <c r="C4" s="296"/>
      <c r="D4" s="297"/>
      <c r="E4" s="291" t="s">
        <v>217</v>
      </c>
      <c r="F4" s="292"/>
      <c r="G4" s="292"/>
      <c r="H4" s="292"/>
      <c r="I4" s="293"/>
      <c r="J4" s="11"/>
    </row>
    <row r="5" spans="1:13" ht="15.75" customHeight="1" x14ac:dyDescent="0.25">
      <c r="A5" s="275"/>
      <c r="B5" s="276"/>
      <c r="C5" s="276"/>
      <c r="D5" s="276"/>
      <c r="E5" s="276"/>
      <c r="F5" s="276"/>
      <c r="G5" s="276"/>
      <c r="H5" s="276"/>
      <c r="I5" s="277"/>
      <c r="J5" s="11"/>
    </row>
    <row r="6" spans="1:13" s="2" customFormat="1" x14ac:dyDescent="0.25">
      <c r="A6" s="294" t="s">
        <v>4</v>
      </c>
      <c r="B6" s="287" t="s">
        <v>1</v>
      </c>
      <c r="C6" s="287"/>
      <c r="D6" s="287" t="s">
        <v>5</v>
      </c>
      <c r="E6" s="287" t="s">
        <v>6</v>
      </c>
      <c r="F6" s="273" t="s">
        <v>7</v>
      </c>
      <c r="G6" s="273" t="s">
        <v>14</v>
      </c>
      <c r="H6" s="273" t="s">
        <v>15</v>
      </c>
      <c r="I6" s="274" t="s">
        <v>8</v>
      </c>
      <c r="J6" s="11"/>
    </row>
    <row r="7" spans="1:13" s="2" customFormat="1" x14ac:dyDescent="0.25">
      <c r="A7" s="294"/>
      <c r="B7" s="14" t="s">
        <v>2</v>
      </c>
      <c r="C7" s="14" t="s">
        <v>3</v>
      </c>
      <c r="D7" s="287"/>
      <c r="E7" s="287"/>
      <c r="F7" s="273"/>
      <c r="G7" s="273"/>
      <c r="H7" s="273"/>
      <c r="I7" s="274"/>
      <c r="J7" s="11"/>
    </row>
    <row r="8" spans="1:13" s="4" customFormat="1" x14ac:dyDescent="0.25">
      <c r="A8" s="20">
        <v>1</v>
      </c>
      <c r="B8" s="271"/>
      <c r="C8" s="272"/>
      <c r="D8" s="3" t="s">
        <v>9</v>
      </c>
      <c r="E8" s="271"/>
      <c r="F8" s="280"/>
      <c r="G8" s="280"/>
      <c r="H8" s="272"/>
      <c r="I8" s="21">
        <f>SUM(I9:I13)</f>
        <v>14679.014515999999</v>
      </c>
      <c r="J8" s="11"/>
    </row>
    <row r="9" spans="1:13" ht="80.25" customHeight="1" x14ac:dyDescent="0.25">
      <c r="A9" s="22" t="s">
        <v>10</v>
      </c>
      <c r="B9" s="16" t="s">
        <v>12</v>
      </c>
      <c r="C9" s="5">
        <v>20701</v>
      </c>
      <c r="D9" s="6" t="s">
        <v>11</v>
      </c>
      <c r="E9" s="16" t="s">
        <v>13</v>
      </c>
      <c r="F9" s="7">
        <f>'PLANILHA QUANTITATIVA'!K6</f>
        <v>6</v>
      </c>
      <c r="G9" s="7">
        <v>464.65</v>
      </c>
      <c r="H9" s="7">
        <f>G9*(1+$I$3)</f>
        <v>597.07524999999998</v>
      </c>
      <c r="I9" s="23">
        <f>H9*F9</f>
        <v>3582.4515000000001</v>
      </c>
      <c r="J9" s="11" t="s">
        <v>138</v>
      </c>
      <c r="K9" s="1" t="s">
        <v>442</v>
      </c>
      <c r="M9" s="13"/>
    </row>
    <row r="10" spans="1:13" ht="69" x14ac:dyDescent="0.25">
      <c r="A10" s="22" t="s">
        <v>16</v>
      </c>
      <c r="B10" s="26" t="s">
        <v>12</v>
      </c>
      <c r="C10" s="5">
        <v>20702</v>
      </c>
      <c r="D10" s="6" t="s">
        <v>137</v>
      </c>
      <c r="E10" s="26" t="s">
        <v>13</v>
      </c>
      <c r="F10" s="7">
        <f>'PLANILHA QUANTITATIVA'!K7</f>
        <v>6</v>
      </c>
      <c r="G10" s="7">
        <v>319.02999999999997</v>
      </c>
      <c r="H10" s="7">
        <f t="shared" ref="H10:H109" si="0">G10*(1+$I$3)</f>
        <v>409.95354999999995</v>
      </c>
      <c r="I10" s="23">
        <f>H10*F10</f>
        <v>2459.7212999999997</v>
      </c>
      <c r="J10" s="11" t="s">
        <v>138</v>
      </c>
      <c r="K10" s="1" t="s">
        <v>442</v>
      </c>
    </row>
    <row r="11" spans="1:13" s="11" customFormat="1" ht="34.5" x14ac:dyDescent="0.25">
      <c r="A11" s="31" t="s">
        <v>18</v>
      </c>
      <c r="B11" s="32" t="s">
        <v>20</v>
      </c>
      <c r="C11" s="32">
        <v>41598</v>
      </c>
      <c r="D11" s="33" t="s">
        <v>401</v>
      </c>
      <c r="E11" s="32" t="s">
        <v>400</v>
      </c>
      <c r="F11" s="34">
        <f>'PLANILHA QUANTITATIVA'!K8</f>
        <v>1</v>
      </c>
      <c r="G11" s="34">
        <v>1240.98</v>
      </c>
      <c r="H11" s="7">
        <f t="shared" si="0"/>
        <v>1594.6593</v>
      </c>
      <c r="I11" s="35">
        <f t="shared" ref="I11:I109" si="1">H11*F11</f>
        <v>1594.6593</v>
      </c>
      <c r="J11" s="11" t="s">
        <v>138</v>
      </c>
      <c r="K11" s="11" t="s">
        <v>443</v>
      </c>
    </row>
    <row r="12" spans="1:13" ht="34.5" x14ac:dyDescent="0.25">
      <c r="A12" s="22" t="s">
        <v>22</v>
      </c>
      <c r="B12" s="16" t="s">
        <v>20</v>
      </c>
      <c r="C12" s="16" t="s">
        <v>19</v>
      </c>
      <c r="D12" s="6" t="s">
        <v>21</v>
      </c>
      <c r="E12" s="16" t="s">
        <v>13</v>
      </c>
      <c r="F12" s="7">
        <f>'PLANILHA QUANTITATIVA'!K9</f>
        <v>538.64</v>
      </c>
      <c r="G12" s="7">
        <v>5.84</v>
      </c>
      <c r="H12" s="7">
        <f t="shared" si="0"/>
        <v>7.5043999999999995</v>
      </c>
      <c r="I12" s="23">
        <f t="shared" si="1"/>
        <v>4042.1700159999996</v>
      </c>
      <c r="J12" s="11" t="s">
        <v>138</v>
      </c>
      <c r="K12" s="1" t="s">
        <v>443</v>
      </c>
    </row>
    <row r="13" spans="1:13" x14ac:dyDescent="0.25">
      <c r="A13" s="22" t="s">
        <v>24</v>
      </c>
      <c r="B13" s="16" t="s">
        <v>20</v>
      </c>
      <c r="C13" s="16" t="s">
        <v>25</v>
      </c>
      <c r="D13" s="8" t="s">
        <v>23</v>
      </c>
      <c r="E13" s="16" t="s">
        <v>13</v>
      </c>
      <c r="F13" s="7">
        <f>'PLANILHA QUANTITATIVA'!K11</f>
        <v>8</v>
      </c>
      <c r="G13" s="7">
        <v>291.83</v>
      </c>
      <c r="H13" s="7">
        <f t="shared" si="0"/>
        <v>375.00154999999995</v>
      </c>
      <c r="I13" s="23">
        <f t="shared" si="1"/>
        <v>3000.0123999999996</v>
      </c>
      <c r="J13" s="11" t="s">
        <v>138</v>
      </c>
      <c r="K13" s="1" t="s">
        <v>443</v>
      </c>
    </row>
    <row r="14" spans="1:13" s="4" customFormat="1" x14ac:dyDescent="0.25">
      <c r="A14" s="20">
        <v>2</v>
      </c>
      <c r="B14" s="278"/>
      <c r="C14" s="279"/>
      <c r="D14" s="3" t="s">
        <v>26</v>
      </c>
      <c r="E14" s="116"/>
      <c r="F14" s="117"/>
      <c r="G14" s="117"/>
      <c r="H14" s="117"/>
      <c r="I14" s="21">
        <f>I15</f>
        <v>7602.4375124400003</v>
      </c>
      <c r="J14" s="11"/>
    </row>
    <row r="15" spans="1:13" ht="34.5" x14ac:dyDescent="0.25">
      <c r="A15" s="22" t="s">
        <v>27</v>
      </c>
      <c r="B15" s="16" t="s">
        <v>12</v>
      </c>
      <c r="C15" s="16">
        <v>200714</v>
      </c>
      <c r="D15" s="6" t="s">
        <v>28</v>
      </c>
      <c r="E15" s="16" t="s">
        <v>13</v>
      </c>
      <c r="F15" s="7">
        <f>'PLANILHA QUANTITATIVA'!K13</f>
        <v>594.00540000000001</v>
      </c>
      <c r="G15" s="7">
        <v>9.9600000000000009</v>
      </c>
      <c r="H15" s="7">
        <f t="shared" si="0"/>
        <v>12.7986</v>
      </c>
      <c r="I15" s="23">
        <f t="shared" si="1"/>
        <v>7602.4375124400003</v>
      </c>
      <c r="J15" s="11" t="s">
        <v>138</v>
      </c>
      <c r="K15" s="1" t="s">
        <v>442</v>
      </c>
    </row>
    <row r="16" spans="1:13" s="4" customFormat="1" x14ac:dyDescent="0.25">
      <c r="A16" s="20">
        <v>3</v>
      </c>
      <c r="B16" s="278"/>
      <c r="C16" s="279"/>
      <c r="D16" s="3" t="s">
        <v>29</v>
      </c>
      <c r="E16" s="116"/>
      <c r="F16" s="117"/>
      <c r="G16" s="117"/>
      <c r="H16" s="117"/>
      <c r="I16" s="21">
        <f>SUM(I17:I23)</f>
        <v>14323.486164399999</v>
      </c>
      <c r="J16" s="11"/>
    </row>
    <row r="17" spans="1:14" ht="69" x14ac:dyDescent="0.25">
      <c r="A17" s="22" t="s">
        <v>30</v>
      </c>
      <c r="B17" s="16" t="s">
        <v>20</v>
      </c>
      <c r="C17" s="16">
        <v>89204</v>
      </c>
      <c r="D17" s="6" t="s">
        <v>31</v>
      </c>
      <c r="E17" s="16" t="s">
        <v>32</v>
      </c>
      <c r="F17" s="7">
        <v>180</v>
      </c>
      <c r="G17" s="7">
        <v>48.08</v>
      </c>
      <c r="H17" s="7">
        <f t="shared" si="0"/>
        <v>61.782799999999995</v>
      </c>
      <c r="I17" s="23">
        <f t="shared" si="1"/>
        <v>11120.903999999999</v>
      </c>
      <c r="J17" s="11" t="s">
        <v>138</v>
      </c>
      <c r="K17" s="1" t="s">
        <v>443</v>
      </c>
    </row>
    <row r="18" spans="1:14" x14ac:dyDescent="0.25">
      <c r="A18" s="24" t="s">
        <v>111</v>
      </c>
      <c r="B18" s="18"/>
      <c r="C18" s="18"/>
      <c r="D18" s="19" t="s">
        <v>112</v>
      </c>
      <c r="E18" s="18"/>
      <c r="F18" s="15"/>
      <c r="G18" s="15"/>
      <c r="H18" s="7">
        <f t="shared" si="0"/>
        <v>0</v>
      </c>
      <c r="I18" s="23"/>
      <c r="J18" s="11"/>
    </row>
    <row r="19" spans="1:14" x14ac:dyDescent="0.25">
      <c r="A19" s="22" t="s">
        <v>113</v>
      </c>
      <c r="B19" s="16" t="s">
        <v>12</v>
      </c>
      <c r="C19" s="16">
        <v>130112</v>
      </c>
      <c r="D19" s="6" t="s">
        <v>114</v>
      </c>
      <c r="E19" s="16" t="s">
        <v>13</v>
      </c>
      <c r="F19" s="7">
        <f>'PLANILHA QUANTITATIVA'!K19</f>
        <v>3.36</v>
      </c>
      <c r="G19" s="7">
        <v>30.21</v>
      </c>
      <c r="H19" s="7">
        <f t="shared" si="0"/>
        <v>38.819849999999995</v>
      </c>
      <c r="I19" s="23">
        <f t="shared" si="1"/>
        <v>130.43469599999997</v>
      </c>
      <c r="J19" s="11" t="s">
        <v>138</v>
      </c>
      <c r="K19" s="1" t="s">
        <v>442</v>
      </c>
    </row>
    <row r="20" spans="1:14" ht="51.75" x14ac:dyDescent="0.25">
      <c r="A20" s="22" t="s">
        <v>115</v>
      </c>
      <c r="B20" s="16" t="s">
        <v>12</v>
      </c>
      <c r="C20" s="16">
        <v>40238</v>
      </c>
      <c r="D20" s="6" t="s">
        <v>116</v>
      </c>
      <c r="E20" s="16" t="s">
        <v>13</v>
      </c>
      <c r="F20" s="7">
        <f>'PLANILHA QUANTITATIVA'!K20</f>
        <v>11.200000000000001</v>
      </c>
      <c r="G20" s="7">
        <v>62.71</v>
      </c>
      <c r="H20" s="7">
        <f t="shared" si="0"/>
        <v>80.582349999999991</v>
      </c>
      <c r="I20" s="23">
        <f t="shared" si="1"/>
        <v>902.52232000000004</v>
      </c>
      <c r="J20" s="11" t="s">
        <v>138</v>
      </c>
      <c r="K20" s="1" t="s">
        <v>442</v>
      </c>
    </row>
    <row r="21" spans="1:14" ht="34.5" x14ac:dyDescent="0.25">
      <c r="A21" s="22" t="s">
        <v>117</v>
      </c>
      <c r="B21" s="16" t="s">
        <v>20</v>
      </c>
      <c r="C21" s="16">
        <v>96545</v>
      </c>
      <c r="D21" s="6" t="s">
        <v>118</v>
      </c>
      <c r="E21" s="16" t="s">
        <v>36</v>
      </c>
      <c r="F21" s="7">
        <f>'PLANILHA QUANTITATIVA'!K21</f>
        <v>122.2</v>
      </c>
      <c r="G21" s="7">
        <v>9.33</v>
      </c>
      <c r="H21" s="7">
        <f t="shared" si="0"/>
        <v>11.989049999999999</v>
      </c>
      <c r="I21" s="23">
        <f t="shared" si="1"/>
        <v>1465.0619099999999</v>
      </c>
      <c r="J21" s="11" t="s">
        <v>138</v>
      </c>
      <c r="K21" s="1" t="s">
        <v>443</v>
      </c>
    </row>
    <row r="22" spans="1:14" ht="34.5" x14ac:dyDescent="0.25">
      <c r="A22" s="22" t="s">
        <v>119</v>
      </c>
      <c r="B22" s="16" t="s">
        <v>20</v>
      </c>
      <c r="C22" s="16">
        <v>94965</v>
      </c>
      <c r="D22" s="6" t="s">
        <v>120</v>
      </c>
      <c r="E22" s="16" t="s">
        <v>121</v>
      </c>
      <c r="F22" s="7">
        <f>'PLANILHA QUANTITATIVA'!K22</f>
        <v>1.3440000000000001</v>
      </c>
      <c r="G22" s="7">
        <v>261.14999999999998</v>
      </c>
      <c r="H22" s="7">
        <f t="shared" si="0"/>
        <v>335.57774999999992</v>
      </c>
      <c r="I22" s="23">
        <f t="shared" si="1"/>
        <v>451.0164959999999</v>
      </c>
      <c r="J22" s="11" t="s">
        <v>138</v>
      </c>
      <c r="K22" s="1" t="s">
        <v>443</v>
      </c>
    </row>
    <row r="23" spans="1:14" ht="34.5" x14ac:dyDescent="0.25">
      <c r="A23" s="22" t="s">
        <v>122</v>
      </c>
      <c r="B23" s="16" t="s">
        <v>20</v>
      </c>
      <c r="C23" s="16">
        <v>92873</v>
      </c>
      <c r="D23" s="6" t="s">
        <v>123</v>
      </c>
      <c r="E23" s="16" t="s">
        <v>121</v>
      </c>
      <c r="F23" s="7">
        <f>'PLANILHA QUANTITATIVA'!K23</f>
        <v>1.3440000000000001</v>
      </c>
      <c r="G23" s="7">
        <v>146.81</v>
      </c>
      <c r="H23" s="7">
        <f t="shared" si="0"/>
        <v>188.65084999999999</v>
      </c>
      <c r="I23" s="23">
        <f t="shared" si="1"/>
        <v>253.5467424</v>
      </c>
      <c r="J23" s="11" t="s">
        <v>138</v>
      </c>
      <c r="K23" s="1" t="s">
        <v>443</v>
      </c>
    </row>
    <row r="24" spans="1:14" s="4" customFormat="1" x14ac:dyDescent="0.25">
      <c r="A24" s="20">
        <v>4</v>
      </c>
      <c r="B24" s="271"/>
      <c r="C24" s="272"/>
      <c r="D24" s="3" t="s">
        <v>33</v>
      </c>
      <c r="E24" s="118"/>
      <c r="F24" s="119"/>
      <c r="G24" s="119"/>
      <c r="H24" s="119"/>
      <c r="I24" s="21">
        <f>I25</f>
        <v>160505.22280000005</v>
      </c>
      <c r="J24" s="11"/>
    </row>
    <row r="25" spans="1:14" ht="69" x14ac:dyDescent="0.25">
      <c r="A25" s="22" t="s">
        <v>34</v>
      </c>
      <c r="B25" s="16" t="s">
        <v>12</v>
      </c>
      <c r="C25" s="16">
        <v>200738</v>
      </c>
      <c r="D25" s="6" t="s">
        <v>35</v>
      </c>
      <c r="E25" s="16" t="s">
        <v>36</v>
      </c>
      <c r="F25" s="7">
        <f>'PLANILHA QUANTITATIVA'!K25</f>
        <v>6853.340000000002</v>
      </c>
      <c r="G25" s="7">
        <v>18.23</v>
      </c>
      <c r="H25" s="7">
        <v>23.42</v>
      </c>
      <c r="I25" s="23">
        <f t="shared" si="1"/>
        <v>160505.22280000005</v>
      </c>
      <c r="J25" s="11" t="s">
        <v>138</v>
      </c>
      <c r="K25" s="1" t="s">
        <v>442</v>
      </c>
      <c r="N25" s="188"/>
    </row>
    <row r="26" spans="1:14" s="4" customFormat="1" x14ac:dyDescent="0.25">
      <c r="A26" s="20">
        <v>5</v>
      </c>
      <c r="B26" s="271"/>
      <c r="C26" s="272"/>
      <c r="D26" s="3" t="s">
        <v>37</v>
      </c>
      <c r="E26" s="118"/>
      <c r="F26" s="119"/>
      <c r="G26" s="119"/>
      <c r="H26" s="119"/>
      <c r="I26" s="21">
        <f>I27</f>
        <v>540.56891699999983</v>
      </c>
      <c r="J26" s="11"/>
    </row>
    <row r="27" spans="1:14" ht="69" x14ac:dyDescent="0.25">
      <c r="A27" s="22" t="s">
        <v>38</v>
      </c>
      <c r="B27" s="16" t="s">
        <v>20</v>
      </c>
      <c r="C27" s="16">
        <v>87473</v>
      </c>
      <c r="D27" s="6" t="s">
        <v>39</v>
      </c>
      <c r="E27" s="16" t="s">
        <v>13</v>
      </c>
      <c r="F27" s="7">
        <f>'PLANILHA QUANTITATIVA'!K28</f>
        <v>8.3699999999999992</v>
      </c>
      <c r="G27" s="7">
        <v>50.26</v>
      </c>
      <c r="H27" s="7">
        <f t="shared" si="0"/>
        <v>64.584099999999992</v>
      </c>
      <c r="I27" s="23">
        <f t="shared" si="1"/>
        <v>540.56891699999983</v>
      </c>
      <c r="J27" s="11" t="s">
        <v>138</v>
      </c>
      <c r="K27" s="1" t="s">
        <v>443</v>
      </c>
    </row>
    <row r="28" spans="1:14" s="4" customFormat="1" x14ac:dyDescent="0.25">
      <c r="A28" s="20">
        <v>6</v>
      </c>
      <c r="B28" s="278"/>
      <c r="C28" s="279"/>
      <c r="D28" s="3" t="s">
        <v>40</v>
      </c>
      <c r="E28" s="118"/>
      <c r="F28" s="119"/>
      <c r="G28" s="119"/>
      <c r="H28" s="119"/>
      <c r="I28" s="21">
        <f>I29</f>
        <v>4720.6787999999997</v>
      </c>
      <c r="J28" s="11"/>
    </row>
    <row r="29" spans="1:14" x14ac:dyDescent="0.25">
      <c r="A29" s="22" t="s">
        <v>41</v>
      </c>
      <c r="B29" s="16" t="s">
        <v>20</v>
      </c>
      <c r="C29" s="16">
        <v>73631</v>
      </c>
      <c r="D29" s="8" t="s">
        <v>42</v>
      </c>
      <c r="E29" s="16" t="s">
        <v>32</v>
      </c>
      <c r="F29" s="7">
        <f>'PLANILHA QUANTITATIVA'!K31</f>
        <v>12</v>
      </c>
      <c r="G29" s="7">
        <v>306.14</v>
      </c>
      <c r="H29" s="7">
        <f t="shared" si="0"/>
        <v>393.38989999999995</v>
      </c>
      <c r="I29" s="23">
        <f t="shared" si="1"/>
        <v>4720.6787999999997</v>
      </c>
      <c r="J29" s="11" t="s">
        <v>138</v>
      </c>
      <c r="K29" s="1" t="s">
        <v>443</v>
      </c>
    </row>
    <row r="30" spans="1:14" s="4" customFormat="1" x14ac:dyDescent="0.25">
      <c r="A30" s="20">
        <v>7</v>
      </c>
      <c r="B30" s="278"/>
      <c r="C30" s="279"/>
      <c r="D30" s="3" t="s">
        <v>43</v>
      </c>
      <c r="E30" s="116"/>
      <c r="F30" s="117"/>
      <c r="G30" s="117"/>
      <c r="H30" s="117"/>
      <c r="I30" s="21">
        <f>I31+I33+I32</f>
        <v>31790.891112338104</v>
      </c>
      <c r="J30" s="11"/>
    </row>
    <row r="31" spans="1:14" ht="34.5" x14ac:dyDescent="0.25">
      <c r="A31" s="22" t="s">
        <v>44</v>
      </c>
      <c r="B31" s="16" t="s">
        <v>20</v>
      </c>
      <c r="C31" s="229">
        <v>94213</v>
      </c>
      <c r="D31" s="6" t="s">
        <v>393</v>
      </c>
      <c r="E31" s="16" t="s">
        <v>13</v>
      </c>
      <c r="F31" s="7">
        <f>'PLANILHA QUANTITATIVA'!K33</f>
        <v>553.02543834449705</v>
      </c>
      <c r="G31" s="7">
        <v>38.94</v>
      </c>
      <c r="H31" s="7">
        <f>G31*(1+$I$3)</f>
        <v>50.037899999999993</v>
      </c>
      <c r="I31" s="23">
        <f t="shared" si="1"/>
        <v>27672.231581338106</v>
      </c>
      <c r="J31" s="11" t="s">
        <v>138</v>
      </c>
      <c r="K31" s="1" t="s">
        <v>443</v>
      </c>
    </row>
    <row r="32" spans="1:14" x14ac:dyDescent="0.25">
      <c r="A32" s="22" t="s">
        <v>110</v>
      </c>
      <c r="B32" s="17" t="s">
        <v>20</v>
      </c>
      <c r="C32" s="25">
        <v>75220</v>
      </c>
      <c r="D32" s="6" t="s">
        <v>131</v>
      </c>
      <c r="E32" s="25" t="s">
        <v>32</v>
      </c>
      <c r="F32" s="7">
        <f>'PLANILHA QUANTITATIVA'!K36</f>
        <v>30.14</v>
      </c>
      <c r="G32" s="7">
        <v>32.69</v>
      </c>
      <c r="H32" s="7">
        <f t="shared" si="0"/>
        <v>42.006649999999993</v>
      </c>
      <c r="I32" s="23">
        <f>H32*F32</f>
        <v>1266.0804309999999</v>
      </c>
      <c r="J32" s="11" t="s">
        <v>138</v>
      </c>
      <c r="K32" s="1" t="s">
        <v>443</v>
      </c>
    </row>
    <row r="33" spans="1:14" ht="34.5" x14ac:dyDescent="0.25">
      <c r="A33" s="22" t="s">
        <v>132</v>
      </c>
      <c r="B33" s="17" t="s">
        <v>20</v>
      </c>
      <c r="C33" s="247">
        <v>94227</v>
      </c>
      <c r="D33" s="6" t="s">
        <v>444</v>
      </c>
      <c r="E33" s="16" t="s">
        <v>32</v>
      </c>
      <c r="F33" s="7">
        <f>'PLANILHA QUANTITATIVA'!K37</f>
        <v>60.269999999999996</v>
      </c>
      <c r="G33" s="7">
        <v>36.840000000000003</v>
      </c>
      <c r="H33" s="7">
        <v>47.33</v>
      </c>
      <c r="I33" s="23">
        <f t="shared" si="1"/>
        <v>2852.5790999999999</v>
      </c>
      <c r="J33" s="11" t="s">
        <v>138</v>
      </c>
      <c r="K33" s="1" t="s">
        <v>442</v>
      </c>
    </row>
    <row r="34" spans="1:14" s="4" customFormat="1" x14ac:dyDescent="0.25">
      <c r="A34" s="20">
        <v>8</v>
      </c>
      <c r="B34" s="271"/>
      <c r="C34" s="272"/>
      <c r="D34" s="3" t="s">
        <v>45</v>
      </c>
      <c r="E34" s="118"/>
      <c r="F34" s="119"/>
      <c r="G34" s="119"/>
      <c r="H34" s="119"/>
      <c r="I34" s="21">
        <f>SUM(I35:I39)</f>
        <v>6144.0990000000002</v>
      </c>
      <c r="J34" s="11"/>
    </row>
    <row r="35" spans="1:14" ht="51.75" x14ac:dyDescent="0.25">
      <c r="A35" s="22" t="s">
        <v>46</v>
      </c>
      <c r="B35" s="16" t="s">
        <v>20</v>
      </c>
      <c r="C35" s="16" t="s">
        <v>47</v>
      </c>
      <c r="D35" s="6" t="s">
        <v>402</v>
      </c>
      <c r="E35" s="16" t="s">
        <v>17</v>
      </c>
      <c r="F35" s="7">
        <f>'PLANILHA QUANTITATIVA'!K41</f>
        <v>1</v>
      </c>
      <c r="G35" s="7">
        <v>241.09</v>
      </c>
      <c r="H35" s="7">
        <f t="shared" si="0"/>
        <v>309.80064999999996</v>
      </c>
      <c r="I35" s="23">
        <f t="shared" si="1"/>
        <v>309.80064999999996</v>
      </c>
      <c r="J35" s="11" t="s">
        <v>138</v>
      </c>
      <c r="K35" s="1" t="s">
        <v>443</v>
      </c>
    </row>
    <row r="36" spans="1:14" ht="34.5" x14ac:dyDescent="0.25">
      <c r="A36" s="22" t="s">
        <v>48</v>
      </c>
      <c r="B36" s="16" t="s">
        <v>20</v>
      </c>
      <c r="C36" s="16" t="s">
        <v>49</v>
      </c>
      <c r="D36" s="6" t="s">
        <v>50</v>
      </c>
      <c r="E36" s="16" t="s">
        <v>17</v>
      </c>
      <c r="F36" s="7">
        <f>'PLANILHA QUANTITATIVA'!K42</f>
        <v>6</v>
      </c>
      <c r="G36" s="7">
        <v>13.74</v>
      </c>
      <c r="H36" s="7">
        <f t="shared" si="0"/>
        <v>17.655899999999999</v>
      </c>
      <c r="I36" s="23">
        <f t="shared" si="1"/>
        <v>105.93539999999999</v>
      </c>
      <c r="J36" s="11" t="s">
        <v>138</v>
      </c>
      <c r="K36" s="1" t="s">
        <v>443</v>
      </c>
    </row>
    <row r="37" spans="1:14" ht="34.5" x14ac:dyDescent="0.25">
      <c r="A37" s="22" t="s">
        <v>51</v>
      </c>
      <c r="B37" s="16" t="s">
        <v>20</v>
      </c>
      <c r="C37" s="16" t="s">
        <v>52</v>
      </c>
      <c r="D37" s="6" t="s">
        <v>53</v>
      </c>
      <c r="E37" s="16" t="s">
        <v>17</v>
      </c>
      <c r="F37" s="7">
        <f>'PLANILHA QUANTITATIVA'!K43</f>
        <v>1</v>
      </c>
      <c r="G37" s="7">
        <v>21.37</v>
      </c>
      <c r="H37" s="7">
        <f t="shared" si="0"/>
        <v>27.460449999999998</v>
      </c>
      <c r="I37" s="23">
        <f t="shared" si="1"/>
        <v>27.460449999999998</v>
      </c>
      <c r="J37" s="11" t="s">
        <v>138</v>
      </c>
      <c r="K37" s="1" t="s">
        <v>443</v>
      </c>
    </row>
    <row r="38" spans="1:14" ht="33.75" customHeight="1" x14ac:dyDescent="0.25">
      <c r="A38" s="22" t="s">
        <v>54</v>
      </c>
      <c r="B38" s="16" t="s">
        <v>20</v>
      </c>
      <c r="C38" s="16">
        <v>72278</v>
      </c>
      <c r="D38" s="6" t="s">
        <v>220</v>
      </c>
      <c r="E38" s="16" t="s">
        <v>17</v>
      </c>
      <c r="F38" s="7">
        <f>'PLANILHA QUANTITATIVA'!K44</f>
        <v>25</v>
      </c>
      <c r="G38" s="7">
        <v>77.319999999999993</v>
      </c>
      <c r="H38" s="7">
        <f t="shared" si="0"/>
        <v>99.356199999999987</v>
      </c>
      <c r="I38" s="23">
        <f t="shared" si="1"/>
        <v>2483.9049999999997</v>
      </c>
      <c r="J38" s="11" t="s">
        <v>138</v>
      </c>
      <c r="K38" s="1" t="s">
        <v>443</v>
      </c>
    </row>
    <row r="39" spans="1:14" ht="51.75" x14ac:dyDescent="0.25">
      <c r="A39" s="22" t="s">
        <v>55</v>
      </c>
      <c r="B39" s="16" t="s">
        <v>20</v>
      </c>
      <c r="C39" s="16">
        <v>93128</v>
      </c>
      <c r="D39" s="6" t="s">
        <v>56</v>
      </c>
      <c r="E39" s="16" t="s">
        <v>17</v>
      </c>
      <c r="F39" s="7">
        <f>'PLANILHA QUANTITATIVA'!K45</f>
        <v>25</v>
      </c>
      <c r="G39" s="7">
        <v>100.14</v>
      </c>
      <c r="H39" s="7">
        <f t="shared" si="0"/>
        <v>128.6799</v>
      </c>
      <c r="I39" s="23">
        <f t="shared" si="1"/>
        <v>3216.9974999999999</v>
      </c>
      <c r="J39" s="11" t="s">
        <v>138</v>
      </c>
      <c r="K39" s="1" t="s">
        <v>443</v>
      </c>
    </row>
    <row r="40" spans="1:14" s="4" customFormat="1" x14ac:dyDescent="0.25">
      <c r="A40" s="20">
        <v>9</v>
      </c>
      <c r="B40" s="278"/>
      <c r="C40" s="279"/>
      <c r="D40" s="3" t="s">
        <v>57</v>
      </c>
      <c r="E40" s="118"/>
      <c r="F40" s="119"/>
      <c r="G40" s="119"/>
      <c r="H40" s="119"/>
      <c r="I40" s="21">
        <f>SUM(I41:I42)</f>
        <v>8128.4987999999994</v>
      </c>
      <c r="J40" s="11"/>
    </row>
    <row r="41" spans="1:14" ht="51.75" x14ac:dyDescent="0.25">
      <c r="A41" s="22" t="s">
        <v>58</v>
      </c>
      <c r="B41" s="16" t="s">
        <v>20</v>
      </c>
      <c r="C41" s="247">
        <v>98078</v>
      </c>
      <c r="D41" s="6" t="s">
        <v>447</v>
      </c>
      <c r="E41" s="16" t="s">
        <v>17</v>
      </c>
      <c r="F41" s="7">
        <f>'PLANILHA QUANTITATIVA'!K48</f>
        <v>1</v>
      </c>
      <c r="G41" s="7">
        <v>2804.25</v>
      </c>
      <c r="H41" s="7">
        <f t="shared" si="0"/>
        <v>3603.4612499999998</v>
      </c>
      <c r="I41" s="23">
        <f t="shared" si="1"/>
        <v>3603.4612499999998</v>
      </c>
      <c r="J41" s="11" t="s">
        <v>138</v>
      </c>
      <c r="K41" s="1" t="s">
        <v>443</v>
      </c>
      <c r="N41" s="13">
        <f>SUM(I40,I43,I57,I60,I67,I102)</f>
        <v>175319.45376081826</v>
      </c>
    </row>
    <row r="42" spans="1:14" ht="34.5" x14ac:dyDescent="0.25">
      <c r="A42" s="22" t="s">
        <v>59</v>
      </c>
      <c r="B42" s="16" t="s">
        <v>12</v>
      </c>
      <c r="C42" s="16">
        <v>140903</v>
      </c>
      <c r="D42" s="6" t="s">
        <v>60</v>
      </c>
      <c r="E42" s="16" t="s">
        <v>32</v>
      </c>
      <c r="F42" s="7">
        <f>'PLANILHA QUANTITATIVA'!K49</f>
        <v>99</v>
      </c>
      <c r="G42" s="7">
        <v>35.57</v>
      </c>
      <c r="H42" s="7">
        <f t="shared" si="0"/>
        <v>45.707449999999994</v>
      </c>
      <c r="I42" s="23">
        <f t="shared" si="1"/>
        <v>4525.0375499999991</v>
      </c>
      <c r="J42" s="11" t="s">
        <v>138</v>
      </c>
      <c r="K42" s="1" t="s">
        <v>442</v>
      </c>
    </row>
    <row r="43" spans="1:14" s="4" customFormat="1" x14ac:dyDescent="0.25">
      <c r="A43" s="20">
        <v>10</v>
      </c>
      <c r="B43" s="271"/>
      <c r="C43" s="272"/>
      <c r="D43" s="3" t="s">
        <v>61</v>
      </c>
      <c r="E43" s="118"/>
      <c r="F43" s="119"/>
      <c r="G43" s="119"/>
      <c r="H43" s="119"/>
      <c r="I43" s="21">
        <f>SUM(I44:I56)</f>
        <v>14172.971750000001</v>
      </c>
      <c r="J43" s="11"/>
    </row>
    <row r="44" spans="1:14" x14ac:dyDescent="0.25">
      <c r="A44" s="22" t="s">
        <v>62</v>
      </c>
      <c r="B44" s="16" t="s">
        <v>20</v>
      </c>
      <c r="C44" s="30">
        <v>97599</v>
      </c>
      <c r="D44" s="6" t="s">
        <v>168</v>
      </c>
      <c r="E44" s="16" t="s">
        <v>17</v>
      </c>
      <c r="F44" s="7">
        <f>'PLANILHA QUANTITATIVA'!K53</f>
        <v>6</v>
      </c>
      <c r="G44" s="7">
        <v>33.22</v>
      </c>
      <c r="H44" s="7">
        <f t="shared" si="0"/>
        <v>42.687699999999992</v>
      </c>
      <c r="I44" s="23">
        <f t="shared" si="1"/>
        <v>256.12619999999993</v>
      </c>
      <c r="J44" s="11" t="s">
        <v>138</v>
      </c>
      <c r="K44" s="1" t="s">
        <v>443</v>
      </c>
    </row>
    <row r="45" spans="1:14" x14ac:dyDescent="0.25">
      <c r="A45" s="22" t="s">
        <v>63</v>
      </c>
      <c r="B45" s="16" t="s">
        <v>20</v>
      </c>
      <c r="C45" s="16" t="s">
        <v>64</v>
      </c>
      <c r="D45" s="6" t="s">
        <v>65</v>
      </c>
      <c r="E45" s="16" t="s">
        <v>17</v>
      </c>
      <c r="F45" s="7">
        <f>'PLANILHA QUANTITATIVA'!K54</f>
        <v>2</v>
      </c>
      <c r="G45" s="7">
        <v>147.43</v>
      </c>
      <c r="H45" s="7">
        <f t="shared" si="0"/>
        <v>189.44755000000001</v>
      </c>
      <c r="I45" s="23">
        <f t="shared" si="1"/>
        <v>378.89510000000001</v>
      </c>
      <c r="J45" s="11" t="s">
        <v>138</v>
      </c>
      <c r="K45" s="1" t="s">
        <v>443</v>
      </c>
    </row>
    <row r="46" spans="1:14" x14ac:dyDescent="0.25">
      <c r="A46" s="24" t="s">
        <v>66</v>
      </c>
      <c r="B46" s="18"/>
      <c r="C46" s="18"/>
      <c r="D46" s="19" t="s">
        <v>326</v>
      </c>
      <c r="E46" s="18"/>
      <c r="F46" s="15"/>
      <c r="G46" s="15"/>
      <c r="H46" s="15"/>
      <c r="I46" s="197"/>
      <c r="J46" s="11"/>
    </row>
    <row r="47" spans="1:14" ht="34.5" x14ac:dyDescent="0.25">
      <c r="A47" s="22" t="s">
        <v>327</v>
      </c>
      <c r="B47" s="16" t="s">
        <v>20</v>
      </c>
      <c r="C47" s="183">
        <v>96973</v>
      </c>
      <c r="D47" s="6" t="s">
        <v>336</v>
      </c>
      <c r="E47" s="183" t="s">
        <v>32</v>
      </c>
      <c r="F47" s="7">
        <f>'PLANILHA QUANTITATIVA'!K56</f>
        <v>145</v>
      </c>
      <c r="G47" s="7">
        <v>33.869999999999997</v>
      </c>
      <c r="H47" s="7">
        <f t="shared" si="0"/>
        <v>43.522949999999994</v>
      </c>
      <c r="I47" s="23">
        <f t="shared" si="1"/>
        <v>6310.8277499999995</v>
      </c>
      <c r="J47" s="11" t="s">
        <v>138</v>
      </c>
      <c r="K47" s="1" t="s">
        <v>443</v>
      </c>
    </row>
    <row r="48" spans="1:14" ht="34.5" x14ac:dyDescent="0.25">
      <c r="A48" s="184" t="s">
        <v>328</v>
      </c>
      <c r="B48" s="183" t="s">
        <v>20</v>
      </c>
      <c r="C48" s="183">
        <v>96985</v>
      </c>
      <c r="D48" s="6" t="s">
        <v>337</v>
      </c>
      <c r="E48" s="183" t="s">
        <v>17</v>
      </c>
      <c r="F48" s="7">
        <f>'PLANILHA QUANTITATIVA'!K57</f>
        <v>6</v>
      </c>
      <c r="G48" s="7">
        <v>43.34</v>
      </c>
      <c r="H48" s="7">
        <f t="shared" ref="H48:H55" si="2">G48*(1+$I$3)</f>
        <v>55.691900000000004</v>
      </c>
      <c r="I48" s="23">
        <f t="shared" ref="I48:I55" si="3">H48*F48</f>
        <v>334.15140000000002</v>
      </c>
      <c r="J48" s="11" t="s">
        <v>138</v>
      </c>
      <c r="K48" s="1" t="s">
        <v>443</v>
      </c>
    </row>
    <row r="49" spans="1:11" ht="34.5" x14ac:dyDescent="0.25">
      <c r="A49" s="184" t="s">
        <v>329</v>
      </c>
      <c r="B49" s="183" t="s">
        <v>20</v>
      </c>
      <c r="C49" s="183">
        <v>72315</v>
      </c>
      <c r="D49" s="6" t="s">
        <v>338</v>
      </c>
      <c r="E49" s="183" t="s">
        <v>17</v>
      </c>
      <c r="F49" s="7">
        <f>'PLANILHA QUANTITATIVA'!K58</f>
        <v>6</v>
      </c>
      <c r="G49" s="7">
        <v>23.54</v>
      </c>
      <c r="H49" s="7">
        <f t="shared" si="2"/>
        <v>30.248899999999995</v>
      </c>
      <c r="I49" s="23">
        <f t="shared" si="3"/>
        <v>181.49339999999998</v>
      </c>
      <c r="J49" s="11" t="s">
        <v>138</v>
      </c>
      <c r="K49" s="1" t="s">
        <v>443</v>
      </c>
    </row>
    <row r="50" spans="1:11" ht="34.5" x14ac:dyDescent="0.25">
      <c r="A50" s="184" t="s">
        <v>330</v>
      </c>
      <c r="B50" s="183" t="s">
        <v>20</v>
      </c>
      <c r="C50" s="183">
        <v>96984</v>
      </c>
      <c r="D50" s="6" t="s">
        <v>339</v>
      </c>
      <c r="E50" s="183" t="s">
        <v>17</v>
      </c>
      <c r="F50" s="7">
        <f>'PLANILHA QUANTITATIVA'!K59</f>
        <v>6</v>
      </c>
      <c r="G50" s="7">
        <v>39.25</v>
      </c>
      <c r="H50" s="7">
        <f t="shared" si="2"/>
        <v>50.436249999999994</v>
      </c>
      <c r="I50" s="23">
        <f t="shared" si="3"/>
        <v>302.61749999999995</v>
      </c>
      <c r="J50" s="11" t="s">
        <v>138</v>
      </c>
      <c r="K50" s="1" t="s">
        <v>443</v>
      </c>
    </row>
    <row r="51" spans="1:11" ht="34.5" x14ac:dyDescent="0.25">
      <c r="A51" s="184" t="s">
        <v>331</v>
      </c>
      <c r="B51" s="183" t="s">
        <v>12</v>
      </c>
      <c r="C51" s="183">
        <v>160310</v>
      </c>
      <c r="D51" s="6" t="s">
        <v>340</v>
      </c>
      <c r="E51" s="183" t="s">
        <v>17</v>
      </c>
      <c r="F51" s="7">
        <f>'PLANILHA QUANTITATIVA'!K60</f>
        <v>6</v>
      </c>
      <c r="G51" s="7">
        <v>41.55</v>
      </c>
      <c r="H51" s="7">
        <f t="shared" si="2"/>
        <v>53.391749999999995</v>
      </c>
      <c r="I51" s="23">
        <f t="shared" si="3"/>
        <v>320.35049999999995</v>
      </c>
      <c r="J51" s="11" t="s">
        <v>138</v>
      </c>
      <c r="K51" s="1" t="s">
        <v>442</v>
      </c>
    </row>
    <row r="52" spans="1:11" ht="51.75" x14ac:dyDescent="0.25">
      <c r="A52" s="184" t="s">
        <v>332</v>
      </c>
      <c r="B52" s="183" t="s">
        <v>12</v>
      </c>
      <c r="C52" s="183">
        <v>160312</v>
      </c>
      <c r="D52" s="6" t="s">
        <v>341</v>
      </c>
      <c r="E52" s="183" t="s">
        <v>17</v>
      </c>
      <c r="F52" s="7">
        <f>'PLANILHA QUANTITATIVA'!K61</f>
        <v>6</v>
      </c>
      <c r="G52" s="7">
        <v>35.28</v>
      </c>
      <c r="H52" s="7">
        <f t="shared" si="2"/>
        <v>45.334800000000001</v>
      </c>
      <c r="I52" s="23">
        <f t="shared" si="3"/>
        <v>272.00880000000001</v>
      </c>
      <c r="J52" s="11" t="s">
        <v>138</v>
      </c>
      <c r="K52" s="1" t="s">
        <v>442</v>
      </c>
    </row>
    <row r="53" spans="1:11" ht="69" x14ac:dyDescent="0.25">
      <c r="A53" s="184" t="s">
        <v>333</v>
      </c>
      <c r="B53" s="183" t="s">
        <v>12</v>
      </c>
      <c r="C53" s="183">
        <v>160313</v>
      </c>
      <c r="D53" s="6" t="s">
        <v>342</v>
      </c>
      <c r="E53" s="183" t="s">
        <v>17</v>
      </c>
      <c r="F53" s="7">
        <f>'PLANILHA QUANTITATIVA'!K62</f>
        <v>12</v>
      </c>
      <c r="G53" s="7">
        <v>36.869999999999997</v>
      </c>
      <c r="H53" s="7">
        <f t="shared" si="2"/>
        <v>47.377949999999991</v>
      </c>
      <c r="I53" s="23">
        <f t="shared" si="3"/>
        <v>568.53539999999987</v>
      </c>
      <c r="J53" s="11" t="s">
        <v>138</v>
      </c>
      <c r="K53" s="1" t="s">
        <v>442</v>
      </c>
    </row>
    <row r="54" spans="1:11" ht="51.75" x14ac:dyDescent="0.25">
      <c r="A54" s="184" t="s">
        <v>334</v>
      </c>
      <c r="B54" s="183" t="s">
        <v>12</v>
      </c>
      <c r="C54" s="183">
        <v>160316</v>
      </c>
      <c r="D54" s="6" t="s">
        <v>343</v>
      </c>
      <c r="E54" s="183" t="s">
        <v>17</v>
      </c>
      <c r="F54" s="7">
        <f>'PLANILHA QUANTITATIVA'!K63</f>
        <v>6</v>
      </c>
      <c r="G54" s="7">
        <v>61.77</v>
      </c>
      <c r="H54" s="7">
        <f t="shared" si="2"/>
        <v>79.374449999999996</v>
      </c>
      <c r="I54" s="23">
        <f t="shared" si="3"/>
        <v>476.24669999999998</v>
      </c>
      <c r="J54" s="11" t="s">
        <v>138</v>
      </c>
      <c r="K54" s="1" t="s">
        <v>442</v>
      </c>
    </row>
    <row r="55" spans="1:11" ht="51.75" x14ac:dyDescent="0.25">
      <c r="A55" s="183" t="s">
        <v>335</v>
      </c>
      <c r="B55" s="183" t="s">
        <v>12</v>
      </c>
      <c r="C55" s="183">
        <v>160329</v>
      </c>
      <c r="D55" s="6" t="s">
        <v>344</v>
      </c>
      <c r="E55" s="183" t="s">
        <v>17</v>
      </c>
      <c r="F55" s="7">
        <f>'PLANILHA QUANTITATIVA'!K64</f>
        <v>6</v>
      </c>
      <c r="G55" s="7">
        <v>11.4</v>
      </c>
      <c r="H55" s="7">
        <f t="shared" si="2"/>
        <v>14.648999999999999</v>
      </c>
      <c r="I55" s="23">
        <f t="shared" si="3"/>
        <v>87.893999999999991</v>
      </c>
      <c r="J55" s="11" t="s">
        <v>138</v>
      </c>
      <c r="K55" s="1" t="s">
        <v>442</v>
      </c>
    </row>
    <row r="56" spans="1:11" x14ac:dyDescent="0.25">
      <c r="A56" s="229" t="s">
        <v>394</v>
      </c>
      <c r="B56" s="229" t="s">
        <v>20</v>
      </c>
      <c r="C56" s="229">
        <v>72254</v>
      </c>
      <c r="D56" s="6" t="s">
        <v>395</v>
      </c>
      <c r="E56" s="229" t="s">
        <v>32</v>
      </c>
      <c r="F56" s="7">
        <f>'PLANILHA QUANTITATIVA'!K65</f>
        <v>108</v>
      </c>
      <c r="G56" s="7">
        <v>33.75</v>
      </c>
      <c r="H56" s="7">
        <f t="shared" ref="H56" si="4">G56*(1+$I$3)</f>
        <v>43.368749999999999</v>
      </c>
      <c r="I56" s="7">
        <f t="shared" ref="I56" si="5">H56*F56</f>
        <v>4683.8249999999998</v>
      </c>
      <c r="J56" s="11" t="s">
        <v>138</v>
      </c>
      <c r="K56" s="1" t="s">
        <v>443</v>
      </c>
    </row>
    <row r="57" spans="1:11" s="4" customFormat="1" x14ac:dyDescent="0.25">
      <c r="A57" s="20">
        <v>11</v>
      </c>
      <c r="B57" s="271"/>
      <c r="C57" s="272"/>
      <c r="D57" s="9" t="s">
        <v>67</v>
      </c>
      <c r="E57" s="118"/>
      <c r="F57" s="119"/>
      <c r="G57" s="119"/>
      <c r="H57" s="119"/>
      <c r="I57" s="21">
        <f>SUM(I58:I59)</f>
        <v>436.67126999999994</v>
      </c>
      <c r="J57" s="11"/>
    </row>
    <row r="58" spans="1:11" ht="34.5" x14ac:dyDescent="0.25">
      <c r="A58" s="22" t="s">
        <v>68</v>
      </c>
      <c r="B58" s="16" t="s">
        <v>12</v>
      </c>
      <c r="C58" s="16">
        <v>160702</v>
      </c>
      <c r="D58" s="6" t="s">
        <v>69</v>
      </c>
      <c r="E58" s="16" t="s">
        <v>13</v>
      </c>
      <c r="F58" s="7">
        <f>'PLANILHA QUANTITATIVA'!K67</f>
        <v>8.3699999999999992</v>
      </c>
      <c r="G58" s="7">
        <v>4.3099999999999996</v>
      </c>
      <c r="H58" s="7">
        <f t="shared" si="0"/>
        <v>5.5383499999999994</v>
      </c>
      <c r="I58" s="23">
        <f t="shared" si="1"/>
        <v>46.355989499999993</v>
      </c>
      <c r="J58" s="11" t="s">
        <v>138</v>
      </c>
      <c r="K58" s="1" t="s">
        <v>442</v>
      </c>
    </row>
    <row r="59" spans="1:11" ht="34.5" x14ac:dyDescent="0.25">
      <c r="A59" s="22" t="s">
        <v>70</v>
      </c>
      <c r="B59" s="16" t="s">
        <v>12</v>
      </c>
      <c r="C59" s="16">
        <v>160711</v>
      </c>
      <c r="D59" s="6" t="s">
        <v>71</v>
      </c>
      <c r="E59" s="16" t="s">
        <v>13</v>
      </c>
      <c r="F59" s="7">
        <f>'PLANILHA QUANTITATIVA'!K69</f>
        <v>8.3699999999999992</v>
      </c>
      <c r="G59" s="7">
        <v>36.29</v>
      </c>
      <c r="H59" s="7">
        <f t="shared" si="0"/>
        <v>46.632649999999998</v>
      </c>
      <c r="I59" s="23">
        <f t="shared" si="1"/>
        <v>390.31528049999997</v>
      </c>
      <c r="J59" s="11" t="s">
        <v>138</v>
      </c>
      <c r="K59" s="1" t="s">
        <v>442</v>
      </c>
    </row>
    <row r="60" spans="1:11" s="4" customFormat="1" x14ac:dyDescent="0.25">
      <c r="A60" s="20">
        <v>12</v>
      </c>
      <c r="B60" s="271"/>
      <c r="C60" s="272"/>
      <c r="D60" s="3" t="s">
        <v>73</v>
      </c>
      <c r="E60" s="118"/>
      <c r="F60" s="119"/>
      <c r="G60" s="119"/>
      <c r="H60" s="119"/>
      <c r="I60" s="21">
        <f>SUM(I61:I66)</f>
        <v>107578.21286306826</v>
      </c>
      <c r="J60" s="11"/>
    </row>
    <row r="61" spans="1:11" x14ac:dyDescent="0.25">
      <c r="A61" s="22" t="s">
        <v>74</v>
      </c>
      <c r="B61" s="16" t="s">
        <v>20</v>
      </c>
      <c r="C61" s="114">
        <v>88549</v>
      </c>
      <c r="D61" s="6" t="s">
        <v>445</v>
      </c>
      <c r="E61" s="16" t="s">
        <v>121</v>
      </c>
      <c r="F61" s="7">
        <f>'PLANILHA QUANTITATIVA'!K72</f>
        <v>38.964800015909958</v>
      </c>
      <c r="G61" s="7">
        <v>75.41</v>
      </c>
      <c r="H61" s="7">
        <f t="shared" si="0"/>
        <v>96.901849999999996</v>
      </c>
      <c r="I61" s="23">
        <f t="shared" si="1"/>
        <v>3775.7612064217042</v>
      </c>
      <c r="J61" s="11" t="s">
        <v>138</v>
      </c>
      <c r="K61" s="1" t="s">
        <v>442</v>
      </c>
    </row>
    <row r="62" spans="1:11" ht="34.5" x14ac:dyDescent="0.25">
      <c r="A62" s="22" t="s">
        <v>75</v>
      </c>
      <c r="B62" s="16" t="s">
        <v>20</v>
      </c>
      <c r="C62" s="16">
        <v>72183</v>
      </c>
      <c r="D62" s="6" t="s">
        <v>76</v>
      </c>
      <c r="E62" s="16" t="s">
        <v>13</v>
      </c>
      <c r="F62" s="7">
        <f>'PLANILHA QUANTITATIVA'!K73</f>
        <v>556.6400002272851</v>
      </c>
      <c r="G62" s="7">
        <v>63.84</v>
      </c>
      <c r="H62" s="7">
        <f t="shared" si="0"/>
        <v>82.034400000000005</v>
      </c>
      <c r="I62" s="23">
        <f t="shared" si="1"/>
        <v>45663.628434645201</v>
      </c>
      <c r="J62" s="11" t="s">
        <v>138</v>
      </c>
      <c r="K62" s="1" t="s">
        <v>443</v>
      </c>
    </row>
    <row r="63" spans="1:11" ht="63.75" customHeight="1" x14ac:dyDescent="0.25">
      <c r="A63" s="22" t="s">
        <v>77</v>
      </c>
      <c r="B63" s="16" t="s">
        <v>12</v>
      </c>
      <c r="C63" s="29">
        <v>200253</v>
      </c>
      <c r="D63" s="6" t="s">
        <v>165</v>
      </c>
      <c r="E63" s="16" t="s">
        <v>13</v>
      </c>
      <c r="F63" s="7">
        <f>'PLANILHA QUANTITATIVA'!K77</f>
        <v>10.690000000000001</v>
      </c>
      <c r="G63" s="7">
        <v>45.97</v>
      </c>
      <c r="H63" s="7">
        <v>59.07</v>
      </c>
      <c r="I63" s="23">
        <f>H63*F63</f>
        <v>631.45830000000012</v>
      </c>
      <c r="J63" s="11" t="s">
        <v>138</v>
      </c>
      <c r="K63" s="1" t="s">
        <v>442</v>
      </c>
    </row>
    <row r="64" spans="1:11" x14ac:dyDescent="0.25">
      <c r="A64" s="22" t="s">
        <v>160</v>
      </c>
      <c r="B64" s="16" t="s">
        <v>20</v>
      </c>
      <c r="C64" s="232">
        <v>98671</v>
      </c>
      <c r="D64" s="10" t="s">
        <v>403</v>
      </c>
      <c r="E64" s="16" t="s">
        <v>13</v>
      </c>
      <c r="F64" s="7">
        <f>'PLANILHA QUANTITATIVA'!K78</f>
        <v>1.3088335000000002</v>
      </c>
      <c r="G64" s="7">
        <v>166.52</v>
      </c>
      <c r="H64" s="7">
        <f t="shared" si="0"/>
        <v>213.97819999999999</v>
      </c>
      <c r="I64" s="23">
        <f>H64*F64</f>
        <v>280.06183642970001</v>
      </c>
      <c r="J64" s="11" t="s">
        <v>138</v>
      </c>
      <c r="K64" s="1" t="s">
        <v>443</v>
      </c>
    </row>
    <row r="65" spans="1:11" ht="34.5" x14ac:dyDescent="0.25">
      <c r="A65" s="22" t="s">
        <v>161</v>
      </c>
      <c r="B65" s="16" t="s">
        <v>20</v>
      </c>
      <c r="C65" s="16">
        <v>84191</v>
      </c>
      <c r="D65" s="6" t="s">
        <v>72</v>
      </c>
      <c r="E65" s="16" t="s">
        <v>13</v>
      </c>
      <c r="F65" s="7">
        <f>'PLANILHA QUANTITATIVA'!K79</f>
        <v>556.6400002272851</v>
      </c>
      <c r="G65" s="7">
        <v>73.86</v>
      </c>
      <c r="H65" s="7">
        <f t="shared" si="0"/>
        <v>94.9101</v>
      </c>
      <c r="I65" s="23">
        <f>H65*F65</f>
        <v>52830.758085571651</v>
      </c>
      <c r="J65" s="11" t="s">
        <v>138</v>
      </c>
      <c r="K65" s="1" t="s">
        <v>443</v>
      </c>
    </row>
    <row r="66" spans="1:11" ht="51.75" x14ac:dyDescent="0.25">
      <c r="A66" s="29" t="s">
        <v>162</v>
      </c>
      <c r="B66" s="29" t="s">
        <v>20</v>
      </c>
      <c r="C66" s="29">
        <v>94995</v>
      </c>
      <c r="D66" s="6" t="s">
        <v>446</v>
      </c>
      <c r="E66" s="29" t="s">
        <v>13</v>
      </c>
      <c r="F66" s="7">
        <f>'PLANILHA QUANTITATIVA'!K80</f>
        <v>65.25</v>
      </c>
      <c r="G66" s="7">
        <v>52.44</v>
      </c>
      <c r="H66" s="7">
        <v>67.38</v>
      </c>
      <c r="I66" s="7">
        <f>H66*F66</f>
        <v>4396.5450000000001</v>
      </c>
      <c r="J66" s="11" t="s">
        <v>138</v>
      </c>
      <c r="K66" s="1" t="s">
        <v>442</v>
      </c>
    </row>
    <row r="67" spans="1:11" s="4" customFormat="1" x14ac:dyDescent="0.25">
      <c r="A67" s="20">
        <v>13</v>
      </c>
      <c r="B67" s="278"/>
      <c r="C67" s="279"/>
      <c r="D67" s="3" t="s">
        <v>78</v>
      </c>
      <c r="E67" s="118"/>
      <c r="F67" s="119"/>
      <c r="G67" s="119"/>
      <c r="H67" s="119"/>
      <c r="I67" s="21">
        <f>SUM(I68:I69)</f>
        <v>3516.1415044999994</v>
      </c>
      <c r="J67" s="11"/>
    </row>
    <row r="68" spans="1:11" ht="34.5" x14ac:dyDescent="0.25">
      <c r="A68" s="22" t="s">
        <v>79</v>
      </c>
      <c r="B68" s="16" t="s">
        <v>12</v>
      </c>
      <c r="C68" s="16">
        <v>160708</v>
      </c>
      <c r="D68" s="6" t="s">
        <v>80</v>
      </c>
      <c r="E68" s="16" t="s">
        <v>13</v>
      </c>
      <c r="F68" s="7">
        <f>'PLANILHA QUANTITATIVA'!K84</f>
        <v>12.419999999999998</v>
      </c>
      <c r="G68" s="7">
        <v>17.11</v>
      </c>
      <c r="H68" s="7">
        <v>20.67</v>
      </c>
      <c r="I68" s="23">
        <f t="shared" si="1"/>
        <v>256.72139999999996</v>
      </c>
      <c r="J68" s="11" t="s">
        <v>138</v>
      </c>
      <c r="K68" s="1" t="s">
        <v>442</v>
      </c>
    </row>
    <row r="69" spans="1:11" ht="34.5" x14ac:dyDescent="0.25">
      <c r="A69" s="22" t="s">
        <v>81</v>
      </c>
      <c r="B69" s="16" t="s">
        <v>20</v>
      </c>
      <c r="C69" s="16">
        <v>41595</v>
      </c>
      <c r="D69" s="6" t="s">
        <v>82</v>
      </c>
      <c r="E69" s="16" t="s">
        <v>32</v>
      </c>
      <c r="F69" s="7">
        <f>'PLANILHA QUANTITATIVA'!K87</f>
        <v>276.61</v>
      </c>
      <c r="G69" s="7">
        <v>9.17</v>
      </c>
      <c r="H69" s="7">
        <f t="shared" si="0"/>
        <v>11.783449999999998</v>
      </c>
      <c r="I69" s="23">
        <f t="shared" si="1"/>
        <v>3259.4201044999995</v>
      </c>
      <c r="J69" s="11" t="s">
        <v>138</v>
      </c>
      <c r="K69" s="1" t="s">
        <v>443</v>
      </c>
    </row>
    <row r="70" spans="1:11" s="4" customFormat="1" x14ac:dyDescent="0.25">
      <c r="A70" s="185">
        <v>14</v>
      </c>
      <c r="B70" s="185"/>
      <c r="C70" s="185"/>
      <c r="D70" s="186" t="s">
        <v>366</v>
      </c>
      <c r="E70" s="185"/>
      <c r="F70" s="219"/>
      <c r="G70" s="219"/>
      <c r="H70" s="219"/>
      <c r="I70" s="219">
        <f>SUM(I71:I101)</f>
        <v>9017.7805915379977</v>
      </c>
      <c r="J70" s="11"/>
    </row>
    <row r="71" spans="1:11" s="224" customFormat="1" x14ac:dyDescent="0.25">
      <c r="A71" s="18" t="s">
        <v>84</v>
      </c>
      <c r="B71" s="18"/>
      <c r="C71" s="18"/>
      <c r="D71" s="221" t="s">
        <v>368</v>
      </c>
      <c r="E71" s="18"/>
      <c r="F71" s="15"/>
      <c r="G71" s="15"/>
      <c r="H71" s="7"/>
      <c r="I71" s="23"/>
    </row>
    <row r="72" spans="1:11" x14ac:dyDescent="0.25">
      <c r="A72" s="194" t="s">
        <v>367</v>
      </c>
      <c r="B72" s="194" t="s">
        <v>12</v>
      </c>
      <c r="C72" s="194">
        <v>130112</v>
      </c>
      <c r="D72" s="6" t="s">
        <v>114</v>
      </c>
      <c r="E72" s="194" t="s">
        <v>13</v>
      </c>
      <c r="F72" s="7">
        <f>'PLANILHA QUANTITATIVA'!K90</f>
        <v>2.88</v>
      </c>
      <c r="G72" s="7">
        <v>30.21</v>
      </c>
      <c r="H72" s="7">
        <f t="shared" ref="H72:H76" si="6">G72*(1+$I$3)</f>
        <v>38.819849999999995</v>
      </c>
      <c r="I72" s="23">
        <f t="shared" ref="I72:I76" si="7">H72*F72</f>
        <v>111.80116799999998</v>
      </c>
      <c r="J72" s="1" t="s">
        <v>138</v>
      </c>
      <c r="K72" s="1" t="s">
        <v>442</v>
      </c>
    </row>
    <row r="73" spans="1:11" ht="51.75" x14ac:dyDescent="0.25">
      <c r="A73" s="194" t="s">
        <v>369</v>
      </c>
      <c r="B73" s="194" t="s">
        <v>12</v>
      </c>
      <c r="C73" s="194">
        <v>40238</v>
      </c>
      <c r="D73" s="6" t="s">
        <v>116</v>
      </c>
      <c r="E73" s="194" t="s">
        <v>13</v>
      </c>
      <c r="F73" s="7">
        <f>'PLANILHA QUANTITATIVA'!K91</f>
        <v>4.8</v>
      </c>
      <c r="G73" s="7">
        <v>62.71</v>
      </c>
      <c r="H73" s="7">
        <f t="shared" si="6"/>
        <v>80.582349999999991</v>
      </c>
      <c r="I73" s="23">
        <f t="shared" si="7"/>
        <v>386.79527999999993</v>
      </c>
      <c r="J73" s="1" t="s">
        <v>138</v>
      </c>
      <c r="K73" s="1" t="s">
        <v>442</v>
      </c>
    </row>
    <row r="74" spans="1:11" ht="34.5" x14ac:dyDescent="0.25">
      <c r="A74" s="194" t="s">
        <v>370</v>
      </c>
      <c r="B74" s="194" t="s">
        <v>20</v>
      </c>
      <c r="C74" s="194">
        <v>96545</v>
      </c>
      <c r="D74" s="6" t="s">
        <v>118</v>
      </c>
      <c r="E74" s="194" t="s">
        <v>36</v>
      </c>
      <c r="F74" s="7">
        <f>'PLANILHA QUANTITATIVA'!K92</f>
        <v>20.22</v>
      </c>
      <c r="G74" s="7">
        <v>9.33</v>
      </c>
      <c r="H74" s="7">
        <f t="shared" si="6"/>
        <v>11.989049999999999</v>
      </c>
      <c r="I74" s="23">
        <f t="shared" si="7"/>
        <v>242.41859099999996</v>
      </c>
      <c r="J74" s="1" t="s">
        <v>138</v>
      </c>
      <c r="K74" s="1" t="s">
        <v>443</v>
      </c>
    </row>
    <row r="75" spans="1:11" ht="34.5" x14ac:dyDescent="0.25">
      <c r="A75" s="194" t="s">
        <v>371</v>
      </c>
      <c r="B75" s="194" t="s">
        <v>20</v>
      </c>
      <c r="C75" s="194">
        <v>94965</v>
      </c>
      <c r="D75" s="6" t="s">
        <v>120</v>
      </c>
      <c r="E75" s="194" t="s">
        <v>121</v>
      </c>
      <c r="F75" s="7">
        <f>'PLANILHA QUANTITATIVA'!K93</f>
        <v>0.72</v>
      </c>
      <c r="G75" s="7">
        <v>261.14999999999998</v>
      </c>
      <c r="H75" s="7">
        <f t="shared" si="6"/>
        <v>335.57774999999992</v>
      </c>
      <c r="I75" s="23">
        <f t="shared" si="7"/>
        <v>241.61597999999992</v>
      </c>
      <c r="J75" s="1" t="s">
        <v>138</v>
      </c>
      <c r="K75" s="1" t="s">
        <v>443</v>
      </c>
    </row>
    <row r="76" spans="1:11" ht="34.5" x14ac:dyDescent="0.25">
      <c r="A76" s="194" t="s">
        <v>372</v>
      </c>
      <c r="B76" s="194" t="s">
        <v>20</v>
      </c>
      <c r="C76" s="194">
        <v>92873</v>
      </c>
      <c r="D76" s="6" t="s">
        <v>123</v>
      </c>
      <c r="E76" s="194" t="s">
        <v>121</v>
      </c>
      <c r="F76" s="7">
        <f>'PLANILHA QUANTITATIVA'!K94</f>
        <v>0.72</v>
      </c>
      <c r="G76" s="7">
        <v>146.81</v>
      </c>
      <c r="H76" s="7">
        <f t="shared" si="6"/>
        <v>188.65084999999999</v>
      </c>
      <c r="I76" s="23">
        <f t="shared" si="7"/>
        <v>135.82861199999999</v>
      </c>
      <c r="J76" s="1" t="s">
        <v>138</v>
      </c>
      <c r="K76" s="1" t="s">
        <v>443</v>
      </c>
    </row>
    <row r="77" spans="1:11" x14ac:dyDescent="0.25">
      <c r="A77" s="18" t="s">
        <v>86</v>
      </c>
      <c r="B77" s="18"/>
      <c r="C77" s="18"/>
      <c r="D77" s="19" t="s">
        <v>373</v>
      </c>
      <c r="E77" s="18"/>
      <c r="F77" s="15"/>
      <c r="G77" s="15"/>
      <c r="H77" s="15"/>
      <c r="I77" s="15"/>
    </row>
    <row r="78" spans="1:11" ht="51.75" x14ac:dyDescent="0.25">
      <c r="A78" s="194" t="s">
        <v>374</v>
      </c>
      <c r="B78" s="194" t="s">
        <v>12</v>
      </c>
      <c r="C78" s="194">
        <v>40238</v>
      </c>
      <c r="D78" s="6" t="s">
        <v>116</v>
      </c>
      <c r="E78" s="194" t="s">
        <v>13</v>
      </c>
      <c r="F78" s="7">
        <f>'PLANILHA QUANTITATIVA'!K96</f>
        <v>11.940900000000001</v>
      </c>
      <c r="G78" s="7">
        <v>62.71</v>
      </c>
      <c r="H78" s="7">
        <f t="shared" ref="H78:H82" si="8">G78*(1+$I$3)</f>
        <v>80.582349999999991</v>
      </c>
      <c r="I78" s="23">
        <f t="shared" ref="I78:I82" si="9">H78*F78</f>
        <v>962.22578311500001</v>
      </c>
      <c r="J78" s="1" t="s">
        <v>138</v>
      </c>
      <c r="K78" s="1" t="s">
        <v>442</v>
      </c>
    </row>
    <row r="79" spans="1:11" ht="34.5" x14ac:dyDescent="0.25">
      <c r="A79" s="194" t="s">
        <v>375</v>
      </c>
      <c r="B79" s="194" t="s">
        <v>20</v>
      </c>
      <c r="C79" s="194">
        <v>96545</v>
      </c>
      <c r="D79" s="6" t="s">
        <v>118</v>
      </c>
      <c r="E79" s="194" t="s">
        <v>36</v>
      </c>
      <c r="F79" s="7">
        <f>'PLANILHA QUANTITATIVA'!K97</f>
        <v>35.6</v>
      </c>
      <c r="G79" s="7">
        <v>9.33</v>
      </c>
      <c r="H79" s="7">
        <f t="shared" si="8"/>
        <v>11.989049999999999</v>
      </c>
      <c r="I79" s="23">
        <f t="shared" si="9"/>
        <v>426.81018</v>
      </c>
      <c r="J79" s="1" t="s">
        <v>138</v>
      </c>
      <c r="K79" s="1" t="s">
        <v>443</v>
      </c>
    </row>
    <row r="80" spans="1:11" ht="34.5" x14ac:dyDescent="0.25">
      <c r="A80" s="194" t="s">
        <v>376</v>
      </c>
      <c r="B80" s="194" t="s">
        <v>20</v>
      </c>
      <c r="C80" s="194">
        <v>94965</v>
      </c>
      <c r="D80" s="6" t="s">
        <v>120</v>
      </c>
      <c r="E80" s="194" t="s">
        <v>121</v>
      </c>
      <c r="F80" s="7">
        <f>'PLANILHA QUANTITATIVA'!K98</f>
        <v>0.58578000000000008</v>
      </c>
      <c r="G80" s="7">
        <v>261.14999999999998</v>
      </c>
      <c r="H80" s="7">
        <f t="shared" si="8"/>
        <v>335.57774999999992</v>
      </c>
      <c r="I80" s="23">
        <f t="shared" si="9"/>
        <v>196.57473439499998</v>
      </c>
      <c r="J80" s="1" t="s">
        <v>138</v>
      </c>
      <c r="K80" s="1" t="s">
        <v>443</v>
      </c>
    </row>
    <row r="81" spans="1:11" ht="34.5" x14ac:dyDescent="0.25">
      <c r="A81" s="194" t="s">
        <v>377</v>
      </c>
      <c r="B81" s="194" t="s">
        <v>20</v>
      </c>
      <c r="C81" s="194">
        <v>92873</v>
      </c>
      <c r="D81" s="6" t="s">
        <v>123</v>
      </c>
      <c r="E81" s="194" t="s">
        <v>121</v>
      </c>
      <c r="F81" s="7">
        <f>'PLANILHA QUANTITATIVA'!K99</f>
        <v>0.58578000000000008</v>
      </c>
      <c r="G81" s="7">
        <v>146.81</v>
      </c>
      <c r="H81" s="7">
        <f t="shared" si="8"/>
        <v>188.65084999999999</v>
      </c>
      <c r="I81" s="23">
        <f t="shared" si="9"/>
        <v>110.50789491300002</v>
      </c>
      <c r="J81" s="1" t="s">
        <v>138</v>
      </c>
      <c r="K81" s="1" t="s">
        <v>443</v>
      </c>
    </row>
    <row r="82" spans="1:11" ht="72" customHeight="1" x14ac:dyDescent="0.25">
      <c r="A82" s="229" t="s">
        <v>396</v>
      </c>
      <c r="B82" s="229" t="s">
        <v>20</v>
      </c>
      <c r="C82" s="229">
        <v>92775</v>
      </c>
      <c r="D82" s="6" t="s">
        <v>397</v>
      </c>
      <c r="E82" s="229" t="s">
        <v>36</v>
      </c>
      <c r="F82" s="7">
        <f>'PLANILHA QUANTITATIVA'!K100</f>
        <v>10.4</v>
      </c>
      <c r="G82" s="7">
        <v>11.48</v>
      </c>
      <c r="H82" s="7">
        <f t="shared" si="8"/>
        <v>14.751799999999999</v>
      </c>
      <c r="I82" s="23">
        <f t="shared" si="9"/>
        <v>153.41872000000001</v>
      </c>
      <c r="J82" s="1" t="s">
        <v>138</v>
      </c>
      <c r="K82" s="1" t="s">
        <v>443</v>
      </c>
    </row>
    <row r="83" spans="1:11" x14ac:dyDescent="0.25">
      <c r="A83" s="18" t="s">
        <v>88</v>
      </c>
      <c r="B83" s="18"/>
      <c r="C83" s="18"/>
      <c r="D83" s="221" t="s">
        <v>378</v>
      </c>
      <c r="E83" s="18"/>
      <c r="F83" s="15"/>
      <c r="G83" s="15"/>
      <c r="H83" s="15"/>
      <c r="I83" s="15"/>
    </row>
    <row r="84" spans="1:11" ht="51.75" x14ac:dyDescent="0.25">
      <c r="A84" s="194" t="s">
        <v>379</v>
      </c>
      <c r="B84" s="194" t="s">
        <v>12</v>
      </c>
      <c r="C84" s="194">
        <v>40238</v>
      </c>
      <c r="D84" s="6" t="s">
        <v>116</v>
      </c>
      <c r="E84" s="194" t="s">
        <v>13</v>
      </c>
      <c r="F84" s="7">
        <f>'PLANILHA QUANTITATIVA'!K102</f>
        <v>3.96</v>
      </c>
      <c r="G84" s="7">
        <v>62.71</v>
      </c>
      <c r="H84" s="7">
        <f t="shared" ref="H84:H87" si="10">G84*(1+$I$3)</f>
        <v>80.582349999999991</v>
      </c>
      <c r="I84" s="23">
        <f t="shared" ref="I84:I87" si="11">H84*F84</f>
        <v>319.10610599999995</v>
      </c>
      <c r="J84" s="1" t="s">
        <v>138</v>
      </c>
      <c r="K84" s="1" t="s">
        <v>442</v>
      </c>
    </row>
    <row r="85" spans="1:11" ht="51.75" x14ac:dyDescent="0.25">
      <c r="A85" s="194" t="s">
        <v>380</v>
      </c>
      <c r="B85" s="194" t="s">
        <v>20</v>
      </c>
      <c r="C85" s="194">
        <v>92761</v>
      </c>
      <c r="D85" s="6" t="s">
        <v>383</v>
      </c>
      <c r="E85" s="194" t="s">
        <v>36</v>
      </c>
      <c r="F85" s="7">
        <f>'PLANILHA QUANTITATIVA'!K103</f>
        <v>11.38</v>
      </c>
      <c r="G85" s="7">
        <v>8.1199999999999992</v>
      </c>
      <c r="H85" s="7">
        <f t="shared" si="10"/>
        <v>10.434199999999999</v>
      </c>
      <c r="I85" s="23">
        <f t="shared" si="11"/>
        <v>118.74119599999999</v>
      </c>
      <c r="J85" s="1" t="s">
        <v>138</v>
      </c>
      <c r="K85" s="1" t="s">
        <v>443</v>
      </c>
    </row>
    <row r="86" spans="1:11" ht="34.5" x14ac:dyDescent="0.25">
      <c r="A86" s="194" t="s">
        <v>381</v>
      </c>
      <c r="B86" s="194" t="s">
        <v>20</v>
      </c>
      <c r="C86" s="194">
        <v>94965</v>
      </c>
      <c r="D86" s="6" t="s">
        <v>120</v>
      </c>
      <c r="E86" s="194" t="s">
        <v>121</v>
      </c>
      <c r="F86" s="7">
        <v>0.16</v>
      </c>
      <c r="G86" s="7">
        <v>261.14999999999998</v>
      </c>
      <c r="H86" s="7">
        <f t="shared" si="10"/>
        <v>335.57774999999992</v>
      </c>
      <c r="I86" s="23">
        <f t="shared" si="11"/>
        <v>53.692439999999991</v>
      </c>
      <c r="J86" s="1" t="s">
        <v>138</v>
      </c>
      <c r="K86" s="1" t="s">
        <v>443</v>
      </c>
    </row>
    <row r="87" spans="1:11" ht="34.5" x14ac:dyDescent="0.25">
      <c r="A87" s="194" t="s">
        <v>382</v>
      </c>
      <c r="B87" s="194" t="s">
        <v>20</v>
      </c>
      <c r="C87" s="194">
        <v>92873</v>
      </c>
      <c r="D87" s="6" t="s">
        <v>123</v>
      </c>
      <c r="E87" s="194" t="s">
        <v>121</v>
      </c>
      <c r="F87" s="7">
        <v>0.16</v>
      </c>
      <c r="G87" s="7">
        <v>146.81</v>
      </c>
      <c r="H87" s="7">
        <f t="shared" si="10"/>
        <v>188.65084999999999</v>
      </c>
      <c r="I87" s="23">
        <f t="shared" si="11"/>
        <v>30.184135999999999</v>
      </c>
      <c r="J87" s="1" t="s">
        <v>138</v>
      </c>
      <c r="K87" s="1" t="s">
        <v>443</v>
      </c>
    </row>
    <row r="88" spans="1:11" ht="71.25" customHeight="1" x14ac:dyDescent="0.25">
      <c r="A88" s="229" t="s">
        <v>398</v>
      </c>
      <c r="B88" s="229" t="s">
        <v>20</v>
      </c>
      <c r="C88" s="229">
        <v>92775</v>
      </c>
      <c r="D88" s="6" t="s">
        <v>397</v>
      </c>
      <c r="E88" s="229" t="s">
        <v>36</v>
      </c>
      <c r="F88" s="7">
        <f>'PLANILHA QUANTITATIVA'!K106</f>
        <v>3.33</v>
      </c>
      <c r="G88" s="7">
        <v>11.48</v>
      </c>
      <c r="H88" s="7">
        <f t="shared" ref="H88" si="12">G88*(1+$I$3)</f>
        <v>14.751799999999999</v>
      </c>
      <c r="I88" s="23">
        <f t="shared" ref="I88" si="13">H88*F88</f>
        <v>49.123494000000001</v>
      </c>
      <c r="J88" s="1" t="s">
        <v>138</v>
      </c>
      <c r="K88" s="1" t="s">
        <v>443</v>
      </c>
    </row>
    <row r="89" spans="1:11" x14ac:dyDescent="0.25">
      <c r="A89" s="18" t="s">
        <v>90</v>
      </c>
      <c r="B89" s="18"/>
      <c r="C89" s="18"/>
      <c r="D89" s="19" t="s">
        <v>384</v>
      </c>
      <c r="E89" s="18"/>
      <c r="F89" s="15"/>
      <c r="G89" s="15"/>
      <c r="H89" s="15"/>
      <c r="I89" s="115"/>
    </row>
    <row r="90" spans="1:11" ht="51.75" x14ac:dyDescent="0.25">
      <c r="A90" s="194" t="s">
        <v>385</v>
      </c>
      <c r="B90" s="194" t="s">
        <v>12</v>
      </c>
      <c r="C90" s="194">
        <v>40238</v>
      </c>
      <c r="D90" s="6" t="s">
        <v>116</v>
      </c>
      <c r="E90" s="194" t="s">
        <v>13</v>
      </c>
      <c r="F90" s="7">
        <f>'PLANILHA QUANTITATIVA'!K108</f>
        <v>11.940900000000001</v>
      </c>
      <c r="G90" s="7">
        <v>62.71</v>
      </c>
      <c r="H90" s="7">
        <f t="shared" ref="H90:H93" si="14">G90*(1+$I$3)</f>
        <v>80.582349999999991</v>
      </c>
      <c r="I90" s="23">
        <f t="shared" ref="I90:I93" si="15">H90*F90</f>
        <v>962.22578311500001</v>
      </c>
      <c r="J90" s="1" t="s">
        <v>138</v>
      </c>
      <c r="K90" s="1" t="s">
        <v>442</v>
      </c>
    </row>
    <row r="91" spans="1:11" ht="51.75" x14ac:dyDescent="0.25">
      <c r="A91" s="194" t="s">
        <v>386</v>
      </c>
      <c r="B91" s="194" t="s">
        <v>20</v>
      </c>
      <c r="C91" s="194">
        <v>92761</v>
      </c>
      <c r="D91" s="6" t="s">
        <v>383</v>
      </c>
      <c r="E91" s="194" t="s">
        <v>36</v>
      </c>
      <c r="F91" s="7">
        <f>'PLANILHA QUANTITATIVA'!K109</f>
        <v>35.6</v>
      </c>
      <c r="G91" s="7">
        <v>8.1199999999999992</v>
      </c>
      <c r="H91" s="7">
        <f t="shared" si="14"/>
        <v>10.434199999999999</v>
      </c>
      <c r="I91" s="23">
        <f t="shared" si="15"/>
        <v>371.45751999999999</v>
      </c>
      <c r="J91" s="1" t="s">
        <v>138</v>
      </c>
      <c r="K91" s="1" t="s">
        <v>443</v>
      </c>
    </row>
    <row r="92" spans="1:11" ht="34.5" x14ac:dyDescent="0.25">
      <c r="A92" s="194" t="s">
        <v>387</v>
      </c>
      <c r="B92" s="194" t="s">
        <v>20</v>
      </c>
      <c r="C92" s="194">
        <v>94965</v>
      </c>
      <c r="D92" s="6" t="s">
        <v>120</v>
      </c>
      <c r="E92" s="194" t="s">
        <v>121</v>
      </c>
      <c r="F92" s="7">
        <v>0.59</v>
      </c>
      <c r="G92" s="7">
        <v>261.14999999999998</v>
      </c>
      <c r="H92" s="7">
        <f t="shared" si="14"/>
        <v>335.57774999999992</v>
      </c>
      <c r="I92" s="23">
        <f t="shared" si="15"/>
        <v>197.99087249999994</v>
      </c>
      <c r="J92" s="1" t="s">
        <v>138</v>
      </c>
      <c r="K92" s="1" t="s">
        <v>443</v>
      </c>
    </row>
    <row r="93" spans="1:11" ht="34.5" x14ac:dyDescent="0.25">
      <c r="A93" s="194" t="s">
        <v>388</v>
      </c>
      <c r="B93" s="194" t="s">
        <v>20</v>
      </c>
      <c r="C93" s="194">
        <v>92873</v>
      </c>
      <c r="D93" s="6" t="s">
        <v>123</v>
      </c>
      <c r="E93" s="194" t="s">
        <v>121</v>
      </c>
      <c r="F93" s="7">
        <v>0.59</v>
      </c>
      <c r="G93" s="7">
        <v>146.81</v>
      </c>
      <c r="H93" s="7">
        <f t="shared" si="14"/>
        <v>188.65084999999999</v>
      </c>
      <c r="I93" s="23">
        <f t="shared" si="15"/>
        <v>111.30400149999998</v>
      </c>
      <c r="J93" s="1" t="s">
        <v>138</v>
      </c>
      <c r="K93" s="1" t="s">
        <v>443</v>
      </c>
    </row>
    <row r="94" spans="1:11" ht="65.25" customHeight="1" x14ac:dyDescent="0.25">
      <c r="A94" s="229" t="s">
        <v>399</v>
      </c>
      <c r="B94" s="229" t="s">
        <v>20</v>
      </c>
      <c r="C94" s="229">
        <v>92775</v>
      </c>
      <c r="D94" s="6" t="s">
        <v>397</v>
      </c>
      <c r="E94" s="229" t="s">
        <v>36</v>
      </c>
      <c r="F94" s="7">
        <f>'PLANILHA QUANTITATIVA'!K112</f>
        <v>10.4</v>
      </c>
      <c r="G94" s="7">
        <v>11.48</v>
      </c>
      <c r="H94" s="7">
        <f t="shared" ref="H94" si="16">G94*(1+$I$3)</f>
        <v>14.751799999999999</v>
      </c>
      <c r="I94" s="23">
        <f t="shared" ref="I94" si="17">H94*F94</f>
        <v>153.41872000000001</v>
      </c>
      <c r="J94" s="1" t="s">
        <v>138</v>
      </c>
      <c r="K94" s="1" t="s">
        <v>443</v>
      </c>
    </row>
    <row r="95" spans="1:11" x14ac:dyDescent="0.25">
      <c r="A95" s="18" t="s">
        <v>435</v>
      </c>
      <c r="B95" s="18"/>
      <c r="C95" s="18"/>
      <c r="D95" s="19" t="s">
        <v>389</v>
      </c>
      <c r="E95" s="18"/>
      <c r="F95" s="15"/>
      <c r="G95" s="15"/>
      <c r="H95" s="15"/>
      <c r="I95" s="15"/>
    </row>
    <row r="96" spans="1:11" ht="51.75" x14ac:dyDescent="0.25">
      <c r="A96" s="194" t="s">
        <v>437</v>
      </c>
      <c r="B96" s="194" t="s">
        <v>12</v>
      </c>
      <c r="C96" s="194">
        <v>40238</v>
      </c>
      <c r="D96" s="6" t="s">
        <v>116</v>
      </c>
      <c r="E96" s="194" t="s">
        <v>13</v>
      </c>
      <c r="F96" s="7">
        <f>'PLANILHA QUANTITATIVA'!K114</f>
        <v>12.670000000000002</v>
      </c>
      <c r="G96" s="7">
        <v>62.71</v>
      </c>
      <c r="H96" s="7">
        <f t="shared" ref="H96:H99" si="18">G96*(1+$I$3)</f>
        <v>80.582349999999991</v>
      </c>
      <c r="I96" s="23">
        <f t="shared" ref="I96:I99" si="19">H96*F96</f>
        <v>1020.9783745</v>
      </c>
      <c r="J96" s="1" t="s">
        <v>138</v>
      </c>
      <c r="K96" s="1" t="s">
        <v>442</v>
      </c>
    </row>
    <row r="97" spans="1:12" ht="51.75" x14ac:dyDescent="0.25">
      <c r="A97" s="233" t="s">
        <v>438</v>
      </c>
      <c r="B97" s="194" t="s">
        <v>20</v>
      </c>
      <c r="C97" s="194">
        <v>92770</v>
      </c>
      <c r="D97" s="6" t="s">
        <v>390</v>
      </c>
      <c r="E97" s="194" t="s">
        <v>36</v>
      </c>
      <c r="F97" s="7">
        <f>'PLANILHA QUANTITATIVA'!K115</f>
        <v>114.85</v>
      </c>
      <c r="G97" s="7">
        <v>7.5</v>
      </c>
      <c r="H97" s="7">
        <f t="shared" si="18"/>
        <v>9.6374999999999993</v>
      </c>
      <c r="I97" s="23">
        <f t="shared" si="19"/>
        <v>1106.8668749999999</v>
      </c>
      <c r="J97" s="11" t="s">
        <v>138</v>
      </c>
      <c r="K97" s="1" t="s">
        <v>443</v>
      </c>
    </row>
    <row r="98" spans="1:12" ht="34.5" x14ac:dyDescent="0.25">
      <c r="A98" s="233" t="s">
        <v>439</v>
      </c>
      <c r="B98" s="194" t="s">
        <v>20</v>
      </c>
      <c r="C98" s="194">
        <v>94965</v>
      </c>
      <c r="D98" s="6" t="s">
        <v>120</v>
      </c>
      <c r="E98" s="194" t="s">
        <v>121</v>
      </c>
      <c r="F98" s="7">
        <v>0.4</v>
      </c>
      <c r="G98" s="7">
        <v>261.14999999999998</v>
      </c>
      <c r="H98" s="7">
        <f t="shared" si="18"/>
        <v>335.57774999999992</v>
      </c>
      <c r="I98" s="23">
        <f t="shared" si="19"/>
        <v>134.23109999999997</v>
      </c>
      <c r="J98" s="1" t="s">
        <v>138</v>
      </c>
      <c r="K98" s="1" t="s">
        <v>443</v>
      </c>
    </row>
    <row r="99" spans="1:12" ht="34.5" x14ac:dyDescent="0.25">
      <c r="A99" s="233" t="s">
        <v>440</v>
      </c>
      <c r="B99" s="194" t="s">
        <v>20</v>
      </c>
      <c r="C99" s="194">
        <v>92873</v>
      </c>
      <c r="D99" s="6" t="s">
        <v>123</v>
      </c>
      <c r="E99" s="194" t="s">
        <v>121</v>
      </c>
      <c r="F99" s="7">
        <v>0.4</v>
      </c>
      <c r="G99" s="7">
        <v>146.81</v>
      </c>
      <c r="H99" s="7">
        <f t="shared" si="18"/>
        <v>188.65084999999999</v>
      </c>
      <c r="I99" s="23">
        <f t="shared" si="19"/>
        <v>75.460340000000002</v>
      </c>
      <c r="J99" s="1" t="s">
        <v>138</v>
      </c>
      <c r="K99" s="1" t="s">
        <v>443</v>
      </c>
    </row>
    <row r="100" spans="1:12" x14ac:dyDescent="0.25">
      <c r="A100" s="18" t="s">
        <v>436</v>
      </c>
      <c r="B100" s="18"/>
      <c r="C100" s="18"/>
      <c r="D100" s="221" t="s">
        <v>391</v>
      </c>
      <c r="E100" s="18"/>
      <c r="F100" s="15"/>
      <c r="G100" s="15"/>
      <c r="H100" s="15"/>
      <c r="I100" s="15"/>
    </row>
    <row r="101" spans="1:12" x14ac:dyDescent="0.25">
      <c r="A101" s="194" t="s">
        <v>441</v>
      </c>
      <c r="B101" s="194" t="s">
        <v>20</v>
      </c>
      <c r="C101" s="194">
        <v>85233</v>
      </c>
      <c r="D101" s="10" t="s">
        <v>392</v>
      </c>
      <c r="E101" s="194" t="s">
        <v>121</v>
      </c>
      <c r="F101" s="7">
        <v>0.47</v>
      </c>
      <c r="G101" s="7">
        <v>2227.0100000000002</v>
      </c>
      <c r="H101" s="7">
        <f t="shared" ref="H101" si="20">G101*(1+$I$3)</f>
        <v>2861.7078500000002</v>
      </c>
      <c r="I101" s="23">
        <f t="shared" ref="I101" si="21">H101*F101</f>
        <v>1345.0026895000001</v>
      </c>
      <c r="J101" s="11" t="s">
        <v>138</v>
      </c>
      <c r="K101" s="1" t="s">
        <v>443</v>
      </c>
    </row>
    <row r="102" spans="1:12" x14ac:dyDescent="0.25">
      <c r="A102" s="20">
        <v>15</v>
      </c>
      <c r="B102" s="271"/>
      <c r="C102" s="272"/>
      <c r="D102" s="3" t="s">
        <v>83</v>
      </c>
      <c r="E102" s="118"/>
      <c r="F102" s="119"/>
      <c r="G102" s="119"/>
      <c r="H102" s="119"/>
      <c r="I102" s="21">
        <f>SUM(I103:I110)</f>
        <v>41486.957573249994</v>
      </c>
      <c r="J102" s="11"/>
    </row>
    <row r="103" spans="1:12" x14ac:dyDescent="0.25">
      <c r="A103" s="22" t="s">
        <v>219</v>
      </c>
      <c r="B103" s="16" t="s">
        <v>20</v>
      </c>
      <c r="C103" s="16">
        <v>9537</v>
      </c>
      <c r="D103" s="8" t="s">
        <v>85</v>
      </c>
      <c r="E103" s="16" t="s">
        <v>13</v>
      </c>
      <c r="F103" s="7">
        <f>'PLANILHA QUANTITATIVA'!K121</f>
        <v>606.43499999999995</v>
      </c>
      <c r="G103" s="7">
        <v>2.09</v>
      </c>
      <c r="H103" s="7">
        <f t="shared" si="0"/>
        <v>2.6856499999999999</v>
      </c>
      <c r="I103" s="23">
        <f t="shared" si="1"/>
        <v>1628.6721577499998</v>
      </c>
      <c r="J103" s="223" t="s">
        <v>138</v>
      </c>
      <c r="K103" s="224" t="s">
        <v>443</v>
      </c>
      <c r="L103" s="224"/>
    </row>
    <row r="104" spans="1:12" ht="34.5" x14ac:dyDescent="0.25">
      <c r="A104" s="22" t="s">
        <v>358</v>
      </c>
      <c r="B104" s="16" t="s">
        <v>12</v>
      </c>
      <c r="C104" s="16">
        <v>200707</v>
      </c>
      <c r="D104" s="6" t="s">
        <v>87</v>
      </c>
      <c r="E104" s="16" t="s">
        <v>17</v>
      </c>
      <c r="F104" s="7">
        <f>'PLANILHA QUANTITATIVA'!K123</f>
        <v>2</v>
      </c>
      <c r="G104" s="7">
        <v>881.67</v>
      </c>
      <c r="H104" s="7">
        <f t="shared" si="0"/>
        <v>1132.9459499999998</v>
      </c>
      <c r="I104" s="23">
        <f t="shared" si="1"/>
        <v>2265.8918999999996</v>
      </c>
      <c r="J104" s="11" t="s">
        <v>138</v>
      </c>
      <c r="K104" s="1" t="s">
        <v>442</v>
      </c>
    </row>
    <row r="105" spans="1:12" ht="63" customHeight="1" x14ac:dyDescent="0.25">
      <c r="A105" s="22" t="s">
        <v>359</v>
      </c>
      <c r="B105" s="16" t="s">
        <v>12</v>
      </c>
      <c r="C105" s="16">
        <v>200708</v>
      </c>
      <c r="D105" s="6" t="s">
        <v>89</v>
      </c>
      <c r="E105" s="16" t="s">
        <v>17</v>
      </c>
      <c r="F105" s="7">
        <f>'PLANILHA QUANTITATIVA'!K124</f>
        <v>1</v>
      </c>
      <c r="G105" s="7">
        <v>1012.33</v>
      </c>
      <c r="H105" s="7">
        <v>1173.97</v>
      </c>
      <c r="I105" s="23">
        <f t="shared" si="1"/>
        <v>1173.97</v>
      </c>
      <c r="J105" s="11" t="s">
        <v>138</v>
      </c>
      <c r="K105" s="1" t="s">
        <v>442</v>
      </c>
    </row>
    <row r="106" spans="1:12" ht="51.75" x14ac:dyDescent="0.25">
      <c r="A106" s="22" t="s">
        <v>360</v>
      </c>
      <c r="B106" s="16" t="s">
        <v>20</v>
      </c>
      <c r="C106" s="16" t="s">
        <v>91</v>
      </c>
      <c r="D106" s="6" t="s">
        <v>92</v>
      </c>
      <c r="E106" s="16" t="s">
        <v>13</v>
      </c>
      <c r="F106" s="7">
        <f>'PLANILHA QUANTITATIVA'!K125</f>
        <v>229.41</v>
      </c>
      <c r="G106" s="7">
        <v>106.51</v>
      </c>
      <c r="H106" s="7">
        <f t="shared" si="0"/>
        <v>136.86535000000001</v>
      </c>
      <c r="I106" s="23">
        <f t="shared" si="1"/>
        <v>31398.279943500002</v>
      </c>
      <c r="J106" s="11" t="s">
        <v>138</v>
      </c>
      <c r="K106" s="1" t="s">
        <v>443</v>
      </c>
    </row>
    <row r="107" spans="1:12" ht="34.5" x14ac:dyDescent="0.25">
      <c r="A107" s="22" t="s">
        <v>361</v>
      </c>
      <c r="B107" s="16" t="s">
        <v>12</v>
      </c>
      <c r="C107" s="16">
        <v>200721</v>
      </c>
      <c r="D107" s="10" t="s">
        <v>93</v>
      </c>
      <c r="E107" s="16" t="s">
        <v>13</v>
      </c>
      <c r="F107" s="7">
        <f>'PLANILHA QUANTITATIVA'!K126</f>
        <v>220.44</v>
      </c>
      <c r="G107" s="7">
        <v>11.43</v>
      </c>
      <c r="H107" s="7">
        <f t="shared" si="0"/>
        <v>14.687549999999998</v>
      </c>
      <c r="I107" s="23">
        <f t="shared" si="1"/>
        <v>3237.7235219999998</v>
      </c>
      <c r="J107" s="11" t="s">
        <v>138</v>
      </c>
      <c r="K107" s="1" t="s">
        <v>442</v>
      </c>
    </row>
    <row r="108" spans="1:12" x14ac:dyDescent="0.25">
      <c r="A108" s="22" t="s">
        <v>362</v>
      </c>
      <c r="B108" s="16" t="s">
        <v>12</v>
      </c>
      <c r="C108" s="16">
        <v>200713</v>
      </c>
      <c r="D108" s="8" t="s">
        <v>94</v>
      </c>
      <c r="E108" s="16" t="s">
        <v>17</v>
      </c>
      <c r="F108" s="7">
        <f>'PLANILHA QUANTITATIVA'!K128</f>
        <v>2</v>
      </c>
      <c r="G108" s="7">
        <v>105</v>
      </c>
      <c r="H108" s="7">
        <f t="shared" si="0"/>
        <v>134.92499999999998</v>
      </c>
      <c r="I108" s="23">
        <f t="shared" si="1"/>
        <v>269.84999999999997</v>
      </c>
      <c r="J108" s="11" t="s">
        <v>138</v>
      </c>
      <c r="K108" s="1" t="s">
        <v>442</v>
      </c>
    </row>
    <row r="109" spans="1:12" ht="34.5" x14ac:dyDescent="0.25">
      <c r="A109" s="22" t="s">
        <v>363</v>
      </c>
      <c r="B109" s="16" t="s">
        <v>12</v>
      </c>
      <c r="C109" s="16">
        <v>200705</v>
      </c>
      <c r="D109" s="10" t="s">
        <v>95</v>
      </c>
      <c r="E109" s="16" t="s">
        <v>17</v>
      </c>
      <c r="F109" s="7">
        <f>'PLANILHA QUANTITATIVA'!K129</f>
        <v>1</v>
      </c>
      <c r="G109" s="7">
        <v>163.93</v>
      </c>
      <c r="H109" s="7">
        <f t="shared" si="0"/>
        <v>210.65004999999999</v>
      </c>
      <c r="I109" s="23">
        <f t="shared" si="1"/>
        <v>210.65004999999999</v>
      </c>
      <c r="J109" s="11" t="s">
        <v>138</v>
      </c>
      <c r="K109" s="1" t="s">
        <v>442</v>
      </c>
    </row>
    <row r="110" spans="1:12" ht="51.75" x14ac:dyDescent="0.25">
      <c r="A110" s="22" t="s">
        <v>364</v>
      </c>
      <c r="B110" s="181" t="s">
        <v>12</v>
      </c>
      <c r="C110" s="181">
        <v>200563</v>
      </c>
      <c r="D110" s="10" t="s">
        <v>221</v>
      </c>
      <c r="E110" s="181" t="s">
        <v>32</v>
      </c>
      <c r="F110" s="7">
        <f>'PLANILHA QUANTITATIVA'!K130</f>
        <v>8</v>
      </c>
      <c r="G110" s="7">
        <v>136.44999999999999</v>
      </c>
      <c r="H110" s="7">
        <v>162.74</v>
      </c>
      <c r="I110" s="23">
        <f t="shared" ref="I110:I112" si="22">H110*F110</f>
        <v>1301.92</v>
      </c>
      <c r="J110" s="11" t="s">
        <v>138</v>
      </c>
      <c r="K110" s="1" t="s">
        <v>442</v>
      </c>
    </row>
    <row r="111" spans="1:12" s="4" customFormat="1" x14ac:dyDescent="0.25">
      <c r="A111" s="178">
        <v>16</v>
      </c>
      <c r="B111" s="185"/>
      <c r="C111" s="185"/>
      <c r="D111" s="186" t="s">
        <v>218</v>
      </c>
      <c r="E111" s="278"/>
      <c r="F111" s="286"/>
      <c r="G111" s="286"/>
      <c r="H111" s="279"/>
      <c r="I111" s="219">
        <f>I112</f>
        <v>7472.5319999999992</v>
      </c>
    </row>
    <row r="112" spans="1:12" x14ac:dyDescent="0.25">
      <c r="A112" s="184" t="s">
        <v>357</v>
      </c>
      <c r="B112" s="181" t="s">
        <v>20</v>
      </c>
      <c r="C112" s="181" t="s">
        <v>354</v>
      </c>
      <c r="D112" s="10" t="s">
        <v>355</v>
      </c>
      <c r="E112" s="181" t="s">
        <v>400</v>
      </c>
      <c r="F112" s="7">
        <f>'PLANILHA QUANTITATIVA'!K132</f>
        <v>1</v>
      </c>
      <c r="G112" s="7">
        <f>COMPOSIÇÕES!G4</f>
        <v>5815.2</v>
      </c>
      <c r="H112" s="7">
        <f t="shared" ref="H112" si="23">G112*(1+$I$3)</f>
        <v>7472.5319999999992</v>
      </c>
      <c r="I112" s="23">
        <f t="shared" si="22"/>
        <v>7472.5319999999992</v>
      </c>
      <c r="J112" s="11" t="s">
        <v>138</v>
      </c>
      <c r="K112" s="1" t="s">
        <v>443</v>
      </c>
    </row>
    <row r="113" spans="1:10" s="4" customFormat="1" ht="15" customHeight="1" thickBot="1" x14ac:dyDescent="0.3">
      <c r="A113" s="281" t="s">
        <v>96</v>
      </c>
      <c r="B113" s="282"/>
      <c r="C113" s="282"/>
      <c r="D113" s="282"/>
      <c r="E113" s="282"/>
      <c r="F113" s="282"/>
      <c r="G113" s="283"/>
      <c r="H113" s="284">
        <f>SUM(I102,I67,I60,I57,I43,I40,I34,I30,I28,I26,I24,I16,I14,I8,I111,I70)</f>
        <v>432116.16517453443</v>
      </c>
      <c r="I113" s="285"/>
      <c r="J113" s="11"/>
    </row>
    <row r="114" spans="1:10" x14ac:dyDescent="0.25">
      <c r="A114" s="1"/>
      <c r="B114" s="1"/>
      <c r="C114" s="1"/>
      <c r="E114" s="1"/>
      <c r="F114" s="1"/>
      <c r="G114" s="1"/>
      <c r="H114" s="1"/>
      <c r="I114" s="1"/>
    </row>
    <row r="115" spans="1:10" x14ac:dyDescent="0.25">
      <c r="A115" s="1"/>
      <c r="B115" s="1"/>
      <c r="C115" s="1"/>
      <c r="E115" s="1"/>
      <c r="F115" s="1"/>
      <c r="G115" s="1"/>
      <c r="H115" s="1"/>
      <c r="I115" s="1"/>
    </row>
    <row r="116" spans="1:10" x14ac:dyDescent="0.25">
      <c r="A116" s="1"/>
      <c r="B116" s="1"/>
      <c r="C116" s="1"/>
      <c r="E116" s="1"/>
      <c r="F116" s="1"/>
      <c r="G116" s="1"/>
      <c r="H116" s="1"/>
      <c r="I116" s="1"/>
    </row>
    <row r="117" spans="1:10" x14ac:dyDescent="0.25">
      <c r="A117" s="1"/>
      <c r="B117" s="1"/>
      <c r="C117" s="1"/>
      <c r="E117" s="1"/>
      <c r="F117" s="1"/>
      <c r="G117" s="1"/>
      <c r="H117" s="1"/>
      <c r="I117" s="1"/>
    </row>
    <row r="118" spans="1:10" x14ac:dyDescent="0.25">
      <c r="A118" s="1"/>
      <c r="B118" s="1"/>
      <c r="C118" s="1"/>
      <c r="E118" s="1"/>
      <c r="F118" s="1"/>
      <c r="G118" s="1"/>
      <c r="H118" s="1"/>
      <c r="I118" s="1"/>
      <c r="J118" s="13"/>
    </row>
    <row r="119" spans="1:10" x14ac:dyDescent="0.25">
      <c r="A119" s="1"/>
      <c r="B119" s="1"/>
      <c r="C119" s="1"/>
      <c r="E119" s="1"/>
      <c r="F119" s="1"/>
      <c r="G119" s="1"/>
      <c r="H119" s="1"/>
      <c r="I119" s="1"/>
      <c r="J119" s="13"/>
    </row>
    <row r="120" spans="1:10" x14ac:dyDescent="0.25">
      <c r="A120" s="1"/>
      <c r="B120" s="1"/>
      <c r="C120" s="1"/>
      <c r="E120" s="1"/>
      <c r="F120" s="1"/>
      <c r="G120" s="1"/>
      <c r="H120" s="1"/>
      <c r="I120" s="1"/>
      <c r="J120" s="13"/>
    </row>
    <row r="121" spans="1:10" x14ac:dyDescent="0.25">
      <c r="A121" s="1"/>
      <c r="B121" s="1"/>
      <c r="C121" s="1"/>
      <c r="E121" s="1"/>
      <c r="F121" s="1"/>
      <c r="G121" s="1"/>
      <c r="H121" s="1"/>
      <c r="I121" s="1"/>
    </row>
    <row r="122" spans="1:10" x14ac:dyDescent="0.25">
      <c r="A122" s="1"/>
      <c r="B122" s="1"/>
      <c r="C122" s="1"/>
      <c r="E122" s="1"/>
      <c r="F122" s="1"/>
      <c r="G122" s="1"/>
      <c r="H122" s="1"/>
      <c r="I122" s="1"/>
    </row>
    <row r="123" spans="1:10" x14ac:dyDescent="0.25">
      <c r="A123" s="1"/>
      <c r="B123" s="1"/>
      <c r="C123" s="1"/>
      <c r="E123" s="1"/>
      <c r="F123" s="1"/>
      <c r="G123" s="1"/>
      <c r="H123" s="1"/>
      <c r="I123" s="1"/>
    </row>
    <row r="124" spans="1:10" x14ac:dyDescent="0.25">
      <c r="A124" s="1"/>
      <c r="B124" s="1"/>
      <c r="C124" s="1"/>
      <c r="E124" s="1"/>
      <c r="F124" s="1"/>
      <c r="G124" s="1"/>
      <c r="H124" s="1"/>
      <c r="I124" s="1"/>
    </row>
    <row r="125" spans="1:10" x14ac:dyDescent="0.25">
      <c r="A125" s="1"/>
      <c r="B125" s="1"/>
      <c r="C125" s="1"/>
      <c r="E125" s="1"/>
      <c r="F125" s="1"/>
      <c r="G125" s="1"/>
      <c r="H125" s="1"/>
      <c r="I125" s="1"/>
    </row>
    <row r="126" spans="1:10" x14ac:dyDescent="0.25">
      <c r="A126" s="1"/>
      <c r="B126" s="1"/>
      <c r="C126" s="1"/>
      <c r="E126" s="1"/>
      <c r="F126" s="1"/>
      <c r="G126" s="1"/>
      <c r="H126" s="1"/>
      <c r="I126" s="1"/>
    </row>
    <row r="127" spans="1:10" x14ac:dyDescent="0.25">
      <c r="A127" s="1"/>
      <c r="B127" s="1"/>
      <c r="C127" s="1"/>
      <c r="E127" s="1"/>
      <c r="F127" s="1"/>
      <c r="G127" s="1"/>
      <c r="H127" s="1"/>
      <c r="I127" s="1"/>
    </row>
    <row r="128" spans="1:10" x14ac:dyDescent="0.25">
      <c r="A128" s="1"/>
      <c r="B128" s="1"/>
      <c r="C128" s="1"/>
      <c r="E128" s="1"/>
      <c r="F128" s="1"/>
      <c r="G128" s="1"/>
      <c r="H128" s="1"/>
      <c r="I128" s="1"/>
    </row>
    <row r="129" spans="1:9" x14ac:dyDescent="0.25">
      <c r="A129" s="1"/>
      <c r="B129" s="1"/>
      <c r="C129" s="1"/>
      <c r="E129" s="1"/>
      <c r="F129" s="1"/>
      <c r="G129" s="1"/>
      <c r="H129" s="1"/>
      <c r="I129" s="1"/>
    </row>
    <row r="130" spans="1:9" x14ac:dyDescent="0.25">
      <c r="A130" s="1"/>
      <c r="B130" s="1"/>
      <c r="C130" s="1"/>
      <c r="E130" s="1"/>
      <c r="F130" s="1"/>
      <c r="G130" s="1"/>
      <c r="H130" s="1"/>
      <c r="I130" s="1"/>
    </row>
  </sheetData>
  <mergeCells count="34">
    <mergeCell ref="B6:C6"/>
    <mergeCell ref="H6:H7"/>
    <mergeCell ref="E2:I2"/>
    <mergeCell ref="E3:G3"/>
    <mergeCell ref="A2:D2"/>
    <mergeCell ref="A3:D3"/>
    <mergeCell ref="A6:A7"/>
    <mergeCell ref="D6:D7"/>
    <mergeCell ref="E6:E7"/>
    <mergeCell ref="F6:F7"/>
    <mergeCell ref="E4:I4"/>
    <mergeCell ref="A4:D4"/>
    <mergeCell ref="B60:C60"/>
    <mergeCell ref="A113:G113"/>
    <mergeCell ref="H113:I113"/>
    <mergeCell ref="B67:C67"/>
    <mergeCell ref="B102:C102"/>
    <mergeCell ref="E111:H111"/>
    <mergeCell ref="A1:I1"/>
    <mergeCell ref="B43:C43"/>
    <mergeCell ref="B57:C57"/>
    <mergeCell ref="G6:G7"/>
    <mergeCell ref="I6:I7"/>
    <mergeCell ref="A5:I5"/>
    <mergeCell ref="B40:C40"/>
    <mergeCell ref="B24:C24"/>
    <mergeCell ref="B26:C26"/>
    <mergeCell ref="B28:C28"/>
    <mergeCell ref="B30:C30"/>
    <mergeCell ref="B34:C34"/>
    <mergeCell ref="B8:C8"/>
    <mergeCell ref="B14:C14"/>
    <mergeCell ref="E8:H8"/>
    <mergeCell ref="B16:C16"/>
  </mergeCells>
  <pageMargins left="0.23622047244094491" right="0.23622047244094491" top="1.1811023622047245" bottom="1.299212598425197" header="0.31496062992125984" footer="0.31496062992125984"/>
  <pageSetup paperSize="9" scale="76" fitToHeight="10" orientation="landscape" r:id="rId1"/>
  <headerFooter>
    <oddHeader>&amp;C&amp;G</oddHeader>
    <oddFooter>&amp;C&amp;"-,Itálico"Rua Elias Estevão Colnago, nº 65 – Centro - Itarana/ES
CEP 29620-000    Tel.: (27) 3720-4900&amp;R_________________________
&amp;"-,Negrito"Igor Alves Folador Dominicini&amp;"-,Itálico"&amp;10
Engenheiro CIvil - CREA ES-043213/D</oddFooter>
  </headerFooter>
  <rowBreaks count="9" manualBreakCount="9">
    <brk id="16" max="8" man="1"/>
    <brk id="26" max="8" man="1"/>
    <brk id="38" max="8" man="1"/>
    <brk id="50" max="8" man="1"/>
    <brk id="58" max="8" man="1"/>
    <brk id="69" max="8" man="1"/>
    <brk id="81" max="8" man="1"/>
    <brk id="95" max="8" man="1"/>
    <brk id="105" max="8"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7"/>
  <sheetViews>
    <sheetView view="pageBreakPreview" topLeftCell="A52" zoomScale="80" zoomScaleNormal="100" zoomScaleSheetLayoutView="80" zoomScalePageLayoutView="70" workbookViewId="0">
      <selection activeCell="E56" sqref="E56"/>
    </sheetView>
  </sheetViews>
  <sheetFormatPr defaultRowHeight="15.75" x14ac:dyDescent="0.25"/>
  <cols>
    <col min="1" max="1" width="9.140625" style="92"/>
    <col min="2" max="2" width="78" style="42" customWidth="1"/>
    <col min="3" max="3" width="7" style="42" customWidth="1"/>
    <col min="4" max="4" width="11.42578125" style="42" customWidth="1"/>
    <col min="5" max="5" width="13.42578125" style="42" customWidth="1"/>
    <col min="6" max="6" width="12.5703125" style="42" customWidth="1"/>
    <col min="7" max="7" width="11.42578125" style="42" customWidth="1"/>
    <col min="8" max="9" width="12.5703125" style="42" customWidth="1"/>
    <col min="10" max="10" width="14.28515625" style="42" bestFit="1" customWidth="1"/>
    <col min="11" max="11" width="11.7109375" style="96" customWidth="1"/>
    <col min="12" max="13" width="9.140625" style="42"/>
    <col min="14" max="14" width="13" style="42" bestFit="1" customWidth="1"/>
    <col min="15" max="16384" width="9.140625" style="42"/>
  </cols>
  <sheetData>
    <row r="1" spans="1:11" s="36" customFormat="1" ht="15" customHeight="1" x14ac:dyDescent="0.3">
      <c r="A1" s="311" t="s">
        <v>97</v>
      </c>
      <c r="B1" s="311"/>
      <c r="C1" s="311"/>
      <c r="D1" s="311"/>
      <c r="E1" s="312"/>
      <c r="F1" s="307" t="s">
        <v>124</v>
      </c>
      <c r="G1" s="307"/>
      <c r="H1" s="307"/>
      <c r="I1" s="307"/>
      <c r="J1" s="307"/>
      <c r="K1" s="308"/>
    </row>
    <row r="2" spans="1:11" s="36" customFormat="1" ht="15" customHeight="1" x14ac:dyDescent="0.3">
      <c r="A2" s="311" t="s">
        <v>98</v>
      </c>
      <c r="B2" s="311"/>
      <c r="C2" s="311"/>
      <c r="D2" s="311"/>
      <c r="E2" s="312"/>
      <c r="F2" s="309"/>
      <c r="G2" s="309"/>
      <c r="H2" s="309"/>
      <c r="I2" s="309"/>
      <c r="J2" s="309"/>
      <c r="K2" s="310"/>
    </row>
    <row r="3" spans="1:11" s="36" customFormat="1" ht="15" customHeight="1" x14ac:dyDescent="0.3">
      <c r="A3" s="311" t="s">
        <v>100</v>
      </c>
      <c r="B3" s="311"/>
      <c r="C3" s="311"/>
      <c r="D3" s="311"/>
      <c r="E3" s="312"/>
      <c r="F3" s="309"/>
      <c r="G3" s="309"/>
      <c r="H3" s="309"/>
      <c r="I3" s="309"/>
      <c r="J3" s="309"/>
      <c r="K3" s="310"/>
    </row>
    <row r="4" spans="1:11" x14ac:dyDescent="0.25">
      <c r="A4" s="37" t="s">
        <v>4</v>
      </c>
      <c r="B4" s="38" t="s">
        <v>136</v>
      </c>
      <c r="C4" s="38" t="s">
        <v>129</v>
      </c>
      <c r="D4" s="39" t="s">
        <v>7</v>
      </c>
      <c r="E4" s="38" t="s">
        <v>125</v>
      </c>
      <c r="F4" s="38" t="s">
        <v>128</v>
      </c>
      <c r="G4" s="39" t="s">
        <v>126</v>
      </c>
      <c r="H4" s="40" t="s">
        <v>127</v>
      </c>
      <c r="I4" s="40" t="s">
        <v>144</v>
      </c>
      <c r="J4" s="40" t="s">
        <v>130</v>
      </c>
      <c r="K4" s="41" t="s">
        <v>8</v>
      </c>
    </row>
    <row r="5" spans="1:11" x14ac:dyDescent="0.25">
      <c r="A5" s="43">
        <v>1</v>
      </c>
      <c r="B5" s="44" t="s">
        <v>9</v>
      </c>
      <c r="C5" s="45"/>
      <c r="D5" s="45"/>
      <c r="E5" s="45"/>
      <c r="F5" s="45"/>
      <c r="G5" s="45"/>
      <c r="H5" s="45"/>
      <c r="I5" s="45"/>
      <c r="J5" s="45"/>
      <c r="K5" s="46"/>
    </row>
    <row r="6" spans="1:11" s="53" customFormat="1" ht="47.25" x14ac:dyDescent="0.25">
      <c r="A6" s="47" t="s">
        <v>10</v>
      </c>
      <c r="B6" s="48" t="str">
        <f>'PLANILHA ORÇAMENTÁRIA'!D9</f>
        <v>Barracão para escritório com sanitário área de 14.50 m2, de chapa de compens. 12mm e pontalete 8x8cm, piso cimentado e cobertura de telha de fibroc. 6mm, incl. ponto de luz e cx. de inspeção, conf. projeto (1 utilização)</v>
      </c>
      <c r="C6" s="49" t="s">
        <v>13</v>
      </c>
      <c r="D6" s="50">
        <v>1</v>
      </c>
      <c r="E6" s="49">
        <v>3</v>
      </c>
      <c r="F6" s="49">
        <v>2</v>
      </c>
      <c r="G6" s="50" t="s">
        <v>109</v>
      </c>
      <c r="H6" s="51">
        <f>E6*F6</f>
        <v>6</v>
      </c>
      <c r="I6" s="51" t="s">
        <v>109</v>
      </c>
      <c r="J6" s="51">
        <v>1</v>
      </c>
      <c r="K6" s="52">
        <f>J6*H6</f>
        <v>6</v>
      </c>
    </row>
    <row r="7" spans="1:11" s="53" customFormat="1" ht="47.25" x14ac:dyDescent="0.25">
      <c r="A7" s="47" t="s">
        <v>16</v>
      </c>
      <c r="B7" s="48" t="str">
        <f>'PLANILHA ORÇAMENTÁRIA'!D10</f>
        <v>Barracão para almoxarifado área de 10.90m2, de chapa de compensado de 12mm e pontalete 8x8cm, piso cimentado e cobertura de telhas de fibrocimento de 6mm, incl. ponto de luz, conf. projeto (1 utilização)</v>
      </c>
      <c r="C7" s="49" t="s">
        <v>13</v>
      </c>
      <c r="D7" s="50">
        <v>1</v>
      </c>
      <c r="E7" s="49">
        <v>3</v>
      </c>
      <c r="F7" s="49">
        <v>2</v>
      </c>
      <c r="G7" s="50" t="s">
        <v>109</v>
      </c>
      <c r="H7" s="51">
        <f>E7*F7</f>
        <v>6</v>
      </c>
      <c r="I7" s="51" t="s">
        <v>109</v>
      </c>
      <c r="J7" s="51">
        <v>1</v>
      </c>
      <c r="K7" s="52">
        <f>J7*H7</f>
        <v>6</v>
      </c>
    </row>
    <row r="8" spans="1:11" s="53" customFormat="1" x14ac:dyDescent="0.25">
      <c r="A8" s="47" t="s">
        <v>18</v>
      </c>
      <c r="B8" s="48" t="str">
        <f>'PLANILHA ORÇAMENTÁRIA'!D11</f>
        <v>Entrada provisória de energia elétrica aerea trifásica 40A em Poste madeira</v>
      </c>
      <c r="C8" s="49" t="s">
        <v>400</v>
      </c>
      <c r="D8" s="50">
        <v>1</v>
      </c>
      <c r="E8" s="49" t="s">
        <v>109</v>
      </c>
      <c r="F8" s="49" t="s">
        <v>109</v>
      </c>
      <c r="G8" s="50" t="s">
        <v>109</v>
      </c>
      <c r="H8" s="51" t="s">
        <v>109</v>
      </c>
      <c r="I8" s="51" t="s">
        <v>109</v>
      </c>
      <c r="J8" s="51" t="s">
        <v>109</v>
      </c>
      <c r="K8" s="52">
        <f>D8</f>
        <v>1</v>
      </c>
    </row>
    <row r="9" spans="1:11" s="53" customFormat="1" ht="25.5" customHeight="1" x14ac:dyDescent="0.25">
      <c r="A9" s="47" t="s">
        <v>22</v>
      </c>
      <c r="B9" s="48" t="str">
        <f>'PLANILHA ORÇAMENTÁRIA'!D12</f>
        <v>Locacao Convencional De Obra, Através De Gabarito De Tabuas Corridas Pontaletadas, Com Reaproveitamento De 3 Vezes.</v>
      </c>
      <c r="C9" s="49" t="s">
        <v>13</v>
      </c>
      <c r="D9" s="50" t="s">
        <v>109</v>
      </c>
      <c r="E9" s="49" t="s">
        <v>109</v>
      </c>
      <c r="F9" s="49" t="s">
        <v>109</v>
      </c>
      <c r="G9" s="50" t="s">
        <v>109</v>
      </c>
      <c r="H9" s="51">
        <v>538.64</v>
      </c>
      <c r="I9" s="51" t="s">
        <v>109</v>
      </c>
      <c r="J9" s="51">
        <v>1</v>
      </c>
      <c r="K9" s="52">
        <f>J9*H9</f>
        <v>538.64</v>
      </c>
    </row>
    <row r="10" spans="1:11" s="53" customFormat="1" x14ac:dyDescent="0.25">
      <c r="A10" s="313" t="s">
        <v>139</v>
      </c>
      <c r="B10" s="313"/>
      <c r="C10" s="313"/>
      <c r="D10" s="313"/>
      <c r="E10" s="313"/>
      <c r="F10" s="313"/>
      <c r="G10" s="313"/>
      <c r="H10" s="313"/>
      <c r="I10" s="313"/>
      <c r="J10" s="313"/>
      <c r="K10" s="313"/>
    </row>
    <row r="11" spans="1:11" s="53" customFormat="1" x14ac:dyDescent="0.25">
      <c r="A11" s="47" t="s">
        <v>24</v>
      </c>
      <c r="B11" s="54" t="str">
        <f>'PLANILHA ORÇAMENTÁRIA'!D13</f>
        <v>Placa De Obra Em Chapa De Aco Galvanizado</v>
      </c>
      <c r="C11" s="49" t="s">
        <v>13</v>
      </c>
      <c r="D11" s="50">
        <v>1</v>
      </c>
      <c r="E11" s="49">
        <v>4</v>
      </c>
      <c r="F11" s="49" t="s">
        <v>109</v>
      </c>
      <c r="G11" s="50">
        <v>2</v>
      </c>
      <c r="H11" s="51">
        <f>E11*G11</f>
        <v>8</v>
      </c>
      <c r="I11" s="51" t="s">
        <v>109</v>
      </c>
      <c r="J11" s="51">
        <v>1</v>
      </c>
      <c r="K11" s="52">
        <f>J11*H11*D11</f>
        <v>8</v>
      </c>
    </row>
    <row r="12" spans="1:11" x14ac:dyDescent="0.25">
      <c r="A12" s="55" t="s">
        <v>140</v>
      </c>
      <c r="B12" s="56" t="s">
        <v>26</v>
      </c>
      <c r="C12" s="57"/>
      <c r="D12" s="58"/>
      <c r="E12" s="58"/>
      <c r="F12" s="58"/>
      <c r="G12" s="58"/>
      <c r="H12" s="58"/>
      <c r="I12" s="58"/>
      <c r="J12" s="58"/>
      <c r="K12" s="59"/>
    </row>
    <row r="13" spans="1:11" ht="31.5" x14ac:dyDescent="0.25">
      <c r="A13" s="60" t="s">
        <v>27</v>
      </c>
      <c r="B13" s="61" t="s">
        <v>28</v>
      </c>
      <c r="C13" s="62" t="s">
        <v>13</v>
      </c>
      <c r="D13" s="63" t="s">
        <v>109</v>
      </c>
      <c r="E13" s="63">
        <v>29.73</v>
      </c>
      <c r="F13" s="63">
        <v>19.98</v>
      </c>
      <c r="G13" s="63" t="s">
        <v>109</v>
      </c>
      <c r="H13" s="64">
        <f>E13*F13</f>
        <v>594.00540000000001</v>
      </c>
      <c r="I13" s="64" t="s">
        <v>109</v>
      </c>
      <c r="J13" s="64" t="s">
        <v>109</v>
      </c>
      <c r="K13" s="65">
        <f>H13</f>
        <v>594.00540000000001</v>
      </c>
    </row>
    <row r="14" spans="1:11" x14ac:dyDescent="0.25">
      <c r="A14" s="66" t="s">
        <v>141</v>
      </c>
      <c r="B14" s="56" t="s">
        <v>29</v>
      </c>
      <c r="C14" s="57"/>
      <c r="D14" s="57"/>
      <c r="E14" s="57"/>
      <c r="F14" s="57"/>
      <c r="G14" s="57"/>
      <c r="H14" s="57"/>
      <c r="I14" s="57"/>
      <c r="J14" s="57"/>
      <c r="K14" s="67"/>
    </row>
    <row r="15" spans="1:11" s="53" customFormat="1" ht="47.25" x14ac:dyDescent="0.25">
      <c r="A15" s="60" t="s">
        <v>30</v>
      </c>
      <c r="B15" s="61" t="str">
        <f>'PLANILHA ORÇAMENTÁRIA'!D17</f>
        <v>Estaca pré-moldada de concreto, seção quadrada, capacidade de 25 toneladas, comprimento total cravado acima de 12m, bate-estacas por gravidade sobre rolos. (Exclusive mobilização e Desmobilização).</v>
      </c>
      <c r="C15" s="63" t="s">
        <v>32</v>
      </c>
      <c r="D15" s="63">
        <f>SUM(D16:D17)</f>
        <v>14</v>
      </c>
      <c r="E15" s="63" t="s">
        <v>109</v>
      </c>
      <c r="F15" s="63" t="s">
        <v>109</v>
      </c>
      <c r="G15" s="63" t="s">
        <v>109</v>
      </c>
      <c r="H15" s="64" t="s">
        <v>109</v>
      </c>
      <c r="I15" s="64" t="s">
        <v>109</v>
      </c>
      <c r="J15" s="64" t="s">
        <v>109</v>
      </c>
      <c r="K15" s="65">
        <f>SUM(K16:K17)</f>
        <v>180</v>
      </c>
    </row>
    <row r="16" spans="1:11" ht="15.75" customHeight="1" x14ac:dyDescent="0.25">
      <c r="A16" s="68"/>
      <c r="B16" s="69" t="s">
        <v>142</v>
      </c>
      <c r="C16" s="63" t="s">
        <v>32</v>
      </c>
      <c r="D16" s="63">
        <v>4</v>
      </c>
      <c r="E16" s="63">
        <v>10</v>
      </c>
      <c r="F16" s="304" t="s">
        <v>109</v>
      </c>
      <c r="G16" s="304"/>
      <c r="H16" s="304"/>
      <c r="I16" s="304"/>
      <c r="J16" s="64">
        <v>1</v>
      </c>
      <c r="K16" s="65">
        <f>E16*D16</f>
        <v>40</v>
      </c>
    </row>
    <row r="17" spans="1:11" ht="15.75" customHeight="1" x14ac:dyDescent="0.25">
      <c r="A17" s="68"/>
      <c r="B17" s="69" t="s">
        <v>143</v>
      </c>
      <c r="C17" s="63" t="s">
        <v>32</v>
      </c>
      <c r="D17" s="63">
        <v>10</v>
      </c>
      <c r="E17" s="63">
        <v>14</v>
      </c>
      <c r="F17" s="304" t="s">
        <v>109</v>
      </c>
      <c r="G17" s="304"/>
      <c r="H17" s="304"/>
      <c r="I17" s="304"/>
      <c r="J17" s="64">
        <v>1</v>
      </c>
      <c r="K17" s="65">
        <f>E17*D17</f>
        <v>140</v>
      </c>
    </row>
    <row r="18" spans="1:11" x14ac:dyDescent="0.25">
      <c r="A18" s="70" t="s">
        <v>111</v>
      </c>
      <c r="B18" s="71" t="s">
        <v>112</v>
      </c>
      <c r="C18" s="72"/>
      <c r="D18" s="63"/>
      <c r="E18" s="63"/>
      <c r="F18" s="63"/>
      <c r="G18" s="63"/>
      <c r="H18" s="64"/>
      <c r="I18" s="64"/>
      <c r="J18" s="64"/>
      <c r="K18" s="65"/>
    </row>
    <row r="19" spans="1:11" x14ac:dyDescent="0.25">
      <c r="A19" s="68" t="s">
        <v>113</v>
      </c>
      <c r="B19" s="73" t="str">
        <f>'PLANILHA ORÇAMENTÁRIA'!D19</f>
        <v>Lastro de concreto não estrutural, espessura de 6 cm</v>
      </c>
      <c r="C19" s="63" t="s">
        <v>13</v>
      </c>
      <c r="D19" s="63">
        <v>14</v>
      </c>
      <c r="E19" s="63">
        <v>0.6</v>
      </c>
      <c r="F19" s="63">
        <v>0.4</v>
      </c>
      <c r="G19" s="63" t="s">
        <v>109</v>
      </c>
      <c r="H19" s="64">
        <f>E19*F19</f>
        <v>0.24</v>
      </c>
      <c r="I19" s="64" t="s">
        <v>109</v>
      </c>
      <c r="J19" s="64" t="s">
        <v>109</v>
      </c>
      <c r="K19" s="65">
        <f>H19*D19</f>
        <v>3.36</v>
      </c>
    </row>
    <row r="20" spans="1:11" s="53" customFormat="1" ht="31.5" x14ac:dyDescent="0.25">
      <c r="A20" s="60" t="s">
        <v>115</v>
      </c>
      <c r="B20" s="61" t="str">
        <f>'PLANILHA ORÇAMENTÁRIA'!D20</f>
        <v>Fôrma de chapa compensada resinada 12mm, levando-se em conta a utilização 3 vezes (incluido o material, corte, montagem, escoramento e desfôrma)</v>
      </c>
      <c r="C20" s="63" t="s">
        <v>13</v>
      </c>
      <c r="D20" s="63">
        <v>14</v>
      </c>
      <c r="E20" s="63">
        <v>2</v>
      </c>
      <c r="F20" s="63" t="s">
        <v>109</v>
      </c>
      <c r="G20" s="63">
        <v>0.4</v>
      </c>
      <c r="H20" s="64">
        <f>E20*G20</f>
        <v>0.8</v>
      </c>
      <c r="I20" s="64" t="s">
        <v>109</v>
      </c>
      <c r="J20" s="64" t="s">
        <v>109</v>
      </c>
      <c r="K20" s="65">
        <f>H20*D20</f>
        <v>11.200000000000001</v>
      </c>
    </row>
    <row r="21" spans="1:11" x14ac:dyDescent="0.25">
      <c r="A21" s="68" t="s">
        <v>117</v>
      </c>
      <c r="B21" s="73" t="str">
        <f>'PLANILHA ORÇAMENTÁRIA'!D21</f>
        <v>Armação de Bloco, Viga Baldrame ou sapata utilizando Aço CA-50 de 8mm</v>
      </c>
      <c r="C21" s="63" t="s">
        <v>36</v>
      </c>
      <c r="D21" s="63">
        <v>14</v>
      </c>
      <c r="E21" s="63">
        <v>305.39999999999998</v>
      </c>
      <c r="F21" s="63" t="s">
        <v>109</v>
      </c>
      <c r="G21" s="63" t="s">
        <v>109</v>
      </c>
      <c r="H21" s="64" t="s">
        <v>109</v>
      </c>
      <c r="I21" s="64" t="s">
        <v>109</v>
      </c>
      <c r="J21" s="74">
        <v>0.4</v>
      </c>
      <c r="K21" s="65">
        <f>J21*E21+0.04</f>
        <v>122.2</v>
      </c>
    </row>
    <row r="22" spans="1:11" x14ac:dyDescent="0.25">
      <c r="A22" s="68" t="s">
        <v>119</v>
      </c>
      <c r="B22" s="61" t="str">
        <f>'PLANILHA ORÇAMENTÁRIA'!D22</f>
        <v>Concreto FCK = 25MPA, Traço 1:2,3:2,7 (Cimento/ Areia / Média / Brita 1)</v>
      </c>
      <c r="C22" s="63" t="s">
        <v>121</v>
      </c>
      <c r="D22" s="63">
        <v>14</v>
      </c>
      <c r="E22" s="63">
        <v>0.6</v>
      </c>
      <c r="F22" s="63">
        <v>0.4</v>
      </c>
      <c r="G22" s="63">
        <v>0.4</v>
      </c>
      <c r="H22" s="64" t="s">
        <v>109</v>
      </c>
      <c r="I22" s="64">
        <f>E22*F22*G22</f>
        <v>9.6000000000000002E-2</v>
      </c>
      <c r="J22" s="64" t="s">
        <v>109</v>
      </c>
      <c r="K22" s="65">
        <f>I22*D22</f>
        <v>1.3440000000000001</v>
      </c>
    </row>
    <row r="23" spans="1:11" x14ac:dyDescent="0.25">
      <c r="A23" s="68" t="s">
        <v>122</v>
      </c>
      <c r="B23" s="73" t="str">
        <f>'PLANILHA ORÇAMENTÁRIA'!D23</f>
        <v>Lançamento com uso de baldes, adensamento e acabamento de Concreto</v>
      </c>
      <c r="C23" s="63" t="s">
        <v>121</v>
      </c>
      <c r="D23" s="63">
        <v>14</v>
      </c>
      <c r="E23" s="63">
        <v>0.6</v>
      </c>
      <c r="F23" s="63">
        <v>0.4</v>
      </c>
      <c r="G23" s="63">
        <v>0.4</v>
      </c>
      <c r="H23" s="64" t="s">
        <v>109</v>
      </c>
      <c r="I23" s="64">
        <f>E23*F23*G23</f>
        <v>9.6000000000000002E-2</v>
      </c>
      <c r="J23" s="64" t="s">
        <v>109</v>
      </c>
      <c r="K23" s="65">
        <f>I23*D23</f>
        <v>1.3440000000000001</v>
      </c>
    </row>
    <row r="24" spans="1:11" x14ac:dyDescent="0.25">
      <c r="A24" s="66" t="s">
        <v>145</v>
      </c>
      <c r="B24" s="56" t="s">
        <v>33</v>
      </c>
      <c r="C24" s="75"/>
      <c r="D24" s="75"/>
      <c r="E24" s="75"/>
      <c r="F24" s="75"/>
      <c r="G24" s="75"/>
      <c r="H24" s="76"/>
      <c r="I24" s="76"/>
      <c r="J24" s="76"/>
      <c r="K24" s="77"/>
    </row>
    <row r="25" spans="1:11" s="53" customFormat="1" ht="63" x14ac:dyDescent="0.25">
      <c r="A25" s="60" t="s">
        <v>34</v>
      </c>
      <c r="B25" s="61" t="str">
        <f>'PLANILHA ORÇAMENTÁRIA'!D25</f>
        <v>Estrut. metálica p/ quadra poliesp. coberta constituída por perfis formados a frio, aço estrutural ASTM A-570 G33 (terças)
ASTM A-36 (demais perfis) c/ o sistema de trat. e pint conf descrito em notas da planilha</v>
      </c>
      <c r="C25" s="63" t="s">
        <v>36</v>
      </c>
      <c r="D25" s="78">
        <f>'TABELA RESUMO'!G68</f>
        <v>6853.340000000002</v>
      </c>
      <c r="E25" s="63" t="s">
        <v>109</v>
      </c>
      <c r="F25" s="63" t="s">
        <v>109</v>
      </c>
      <c r="G25" s="63" t="s">
        <v>109</v>
      </c>
      <c r="H25" s="64" t="s">
        <v>109</v>
      </c>
      <c r="I25" s="64" t="s">
        <v>109</v>
      </c>
      <c r="J25" s="64" t="s">
        <v>109</v>
      </c>
      <c r="K25" s="65">
        <f>D25</f>
        <v>6853.340000000002</v>
      </c>
    </row>
    <row r="26" spans="1:11" s="53" customFormat="1" x14ac:dyDescent="0.25">
      <c r="A26" s="318" t="s">
        <v>146</v>
      </c>
      <c r="B26" s="318"/>
      <c r="C26" s="318"/>
      <c r="D26" s="318"/>
      <c r="E26" s="318"/>
      <c r="F26" s="318"/>
      <c r="G26" s="318"/>
      <c r="H26" s="318"/>
      <c r="I26" s="318"/>
      <c r="J26" s="318"/>
      <c r="K26" s="318"/>
    </row>
    <row r="27" spans="1:11" x14ac:dyDescent="0.25">
      <c r="A27" s="66" t="s">
        <v>147</v>
      </c>
      <c r="B27" s="56" t="s">
        <v>37</v>
      </c>
      <c r="C27" s="75"/>
      <c r="D27" s="75"/>
      <c r="E27" s="75"/>
      <c r="F27" s="75"/>
      <c r="G27" s="75"/>
      <c r="H27" s="76"/>
      <c r="I27" s="76"/>
      <c r="J27" s="76"/>
      <c r="K27" s="77"/>
    </row>
    <row r="28" spans="1:11" s="53" customFormat="1" ht="47.25" x14ac:dyDescent="0.25">
      <c r="A28" s="60" t="s">
        <v>38</v>
      </c>
      <c r="B28" s="61" t="str">
        <f>'PLANILHA ORÇAMENTÁRIA'!D27</f>
        <v>Alvenaria de vedação de blocos cerâmicos furados na vertical de 14x19x39cm (Espessura 14cm) de paredes com Área líquida manor que 6m² sem vãos e argamassa de assentamento com preparo em betoneira.</v>
      </c>
      <c r="C28" s="63" t="s">
        <v>13</v>
      </c>
      <c r="D28" s="63" t="s">
        <v>109</v>
      </c>
      <c r="E28" s="63" t="s">
        <v>109</v>
      </c>
      <c r="F28" s="63" t="s">
        <v>109</v>
      </c>
      <c r="G28" s="63" t="s">
        <v>109</v>
      </c>
      <c r="H28" s="64" t="s">
        <v>109</v>
      </c>
      <c r="I28" s="64" t="s">
        <v>109</v>
      </c>
      <c r="J28" s="64" t="s">
        <v>109</v>
      </c>
      <c r="K28" s="65">
        <f>H29</f>
        <v>8.3699999999999992</v>
      </c>
    </row>
    <row r="29" spans="1:11" x14ac:dyDescent="0.25">
      <c r="A29" s="68"/>
      <c r="B29" s="69" t="s">
        <v>148</v>
      </c>
      <c r="C29" s="79" t="s">
        <v>13</v>
      </c>
      <c r="D29" s="305" t="s">
        <v>109</v>
      </c>
      <c r="E29" s="305"/>
      <c r="F29" s="305"/>
      <c r="G29" s="305"/>
      <c r="H29" s="80">
        <v>8.3699999999999992</v>
      </c>
      <c r="I29" s="317" t="s">
        <v>109</v>
      </c>
      <c r="J29" s="317"/>
      <c r="K29" s="317"/>
    </row>
    <row r="30" spans="1:11" x14ac:dyDescent="0.25">
      <c r="A30" s="66" t="s">
        <v>149</v>
      </c>
      <c r="B30" s="56" t="s">
        <v>40</v>
      </c>
      <c r="C30" s="75"/>
      <c r="D30" s="75"/>
      <c r="E30" s="75"/>
      <c r="F30" s="75"/>
      <c r="G30" s="75"/>
      <c r="H30" s="76"/>
      <c r="I30" s="76"/>
      <c r="J30" s="76"/>
      <c r="K30" s="77"/>
    </row>
    <row r="31" spans="1:11" x14ac:dyDescent="0.25">
      <c r="A31" s="68" t="s">
        <v>41</v>
      </c>
      <c r="B31" s="73" t="str">
        <f>'PLANILHA ORÇAMENTÁRIA'!D29</f>
        <v>Guarda-corpo em tubo de aço galvanizado 1 1/2"</v>
      </c>
      <c r="C31" s="63" t="s">
        <v>32</v>
      </c>
      <c r="D31" s="63">
        <v>1</v>
      </c>
      <c r="E31" s="63">
        <v>12</v>
      </c>
      <c r="F31" s="63" t="s">
        <v>109</v>
      </c>
      <c r="G31" s="63" t="s">
        <v>109</v>
      </c>
      <c r="H31" s="64" t="s">
        <v>109</v>
      </c>
      <c r="I31" s="64" t="s">
        <v>109</v>
      </c>
      <c r="J31" s="64" t="s">
        <v>109</v>
      </c>
      <c r="K31" s="65">
        <f>E31*D31</f>
        <v>12</v>
      </c>
    </row>
    <row r="32" spans="1:11" x14ac:dyDescent="0.25">
      <c r="A32" s="66" t="s">
        <v>150</v>
      </c>
      <c r="B32" s="56" t="s">
        <v>43</v>
      </c>
      <c r="C32" s="75"/>
      <c r="D32" s="75"/>
      <c r="E32" s="75"/>
      <c r="F32" s="75"/>
      <c r="G32" s="75"/>
      <c r="H32" s="76"/>
      <c r="I32" s="76"/>
      <c r="J32" s="76"/>
      <c r="K32" s="77"/>
    </row>
    <row r="33" spans="1:11" ht="31.5" x14ac:dyDescent="0.25">
      <c r="A33" s="68" t="s">
        <v>44</v>
      </c>
      <c r="B33" s="81" t="str">
        <f>'PLANILHA ORÇAMENTÁRIA'!D31</f>
        <v>Telhamento com telha de aço/alumínio e = 0,5 mm, com até 2 águas, incluso içamento. AF_06/2016</v>
      </c>
      <c r="C33" s="63" t="s">
        <v>13</v>
      </c>
      <c r="D33" s="63">
        <v>1</v>
      </c>
      <c r="E33" s="63">
        <v>29.73</v>
      </c>
      <c r="F33" s="63">
        <v>18.350000000000001</v>
      </c>
      <c r="G33" s="63" t="s">
        <v>109</v>
      </c>
      <c r="H33" s="63">
        <f>F33*E33</f>
        <v>545.54550000000006</v>
      </c>
      <c r="I33" s="63" t="s">
        <v>109</v>
      </c>
      <c r="J33" s="63">
        <v>1.0137109339999999</v>
      </c>
      <c r="K33" s="65">
        <f>J33*H33</f>
        <v>553.02543834449705</v>
      </c>
    </row>
    <row r="34" spans="1:11" x14ac:dyDescent="0.25">
      <c r="A34" s="314" t="s">
        <v>151</v>
      </c>
      <c r="B34" s="315"/>
      <c r="C34" s="315"/>
      <c r="D34" s="315"/>
      <c r="E34" s="315"/>
      <c r="F34" s="315"/>
      <c r="G34" s="315"/>
      <c r="H34" s="315"/>
      <c r="I34" s="315"/>
      <c r="J34" s="315"/>
      <c r="K34" s="315"/>
    </row>
    <row r="35" spans="1:11" s="82" customFormat="1" ht="12.75" customHeight="1" x14ac:dyDescent="0.25">
      <c r="A35" s="306" t="s">
        <v>169</v>
      </c>
      <c r="B35" s="306"/>
      <c r="C35" s="306"/>
      <c r="D35" s="306"/>
      <c r="E35" s="306"/>
      <c r="F35" s="306"/>
      <c r="G35" s="306"/>
      <c r="H35" s="306"/>
      <c r="I35" s="306"/>
      <c r="J35" s="306"/>
      <c r="K35" s="306"/>
    </row>
    <row r="36" spans="1:11" x14ac:dyDescent="0.25">
      <c r="A36" s="68" t="s">
        <v>110</v>
      </c>
      <c r="B36" s="83" t="str">
        <f>'PLANILHA ORÇAMENTÁRIA'!D32</f>
        <v>Cumeira em perfil ondulado de alumínio</v>
      </c>
      <c r="C36" s="63" t="s">
        <v>32</v>
      </c>
      <c r="D36" s="63" t="s">
        <v>109</v>
      </c>
      <c r="E36" s="63">
        <v>30.14</v>
      </c>
      <c r="F36" s="63" t="s">
        <v>109</v>
      </c>
      <c r="G36" s="63" t="s">
        <v>109</v>
      </c>
      <c r="H36" s="63" t="s">
        <v>109</v>
      </c>
      <c r="I36" s="63" t="s">
        <v>109</v>
      </c>
      <c r="J36" s="63" t="s">
        <v>109</v>
      </c>
      <c r="K36" s="65">
        <f>E36</f>
        <v>30.14</v>
      </c>
    </row>
    <row r="37" spans="1:11" x14ac:dyDescent="0.25">
      <c r="A37" s="68" t="s">
        <v>132</v>
      </c>
      <c r="B37" s="83" t="str">
        <f>'PLANILHA ORÇAMENTÁRIA'!D33</f>
        <v>Calha em chapa de aço galvanizado número 24, desenvolvimento de 33 cm, Incluso Transporte Vertical. AF_06/2016</v>
      </c>
      <c r="C37" s="63" t="s">
        <v>32</v>
      </c>
      <c r="D37" s="63" t="s">
        <v>109</v>
      </c>
      <c r="E37" s="63" t="s">
        <v>109</v>
      </c>
      <c r="F37" s="63" t="s">
        <v>109</v>
      </c>
      <c r="G37" s="63" t="s">
        <v>109</v>
      </c>
      <c r="H37" s="63" t="s">
        <v>109</v>
      </c>
      <c r="I37" s="63" t="s">
        <v>109</v>
      </c>
      <c r="J37" s="63" t="s">
        <v>109</v>
      </c>
      <c r="K37" s="65">
        <f>SUM(E38:E39)</f>
        <v>60.269999999999996</v>
      </c>
    </row>
    <row r="38" spans="1:11" x14ac:dyDescent="0.25">
      <c r="A38" s="68"/>
      <c r="B38" s="84" t="s">
        <v>152</v>
      </c>
      <c r="C38" s="63" t="s">
        <v>32</v>
      </c>
      <c r="D38" s="63" t="s">
        <v>109</v>
      </c>
      <c r="E38" s="63">
        <v>29.73</v>
      </c>
      <c r="F38" s="304" t="s">
        <v>109</v>
      </c>
      <c r="G38" s="304"/>
      <c r="H38" s="304"/>
      <c r="I38" s="304"/>
      <c r="J38" s="304"/>
      <c r="K38" s="304"/>
    </row>
    <row r="39" spans="1:11" x14ac:dyDescent="0.25">
      <c r="A39" s="68"/>
      <c r="B39" s="84" t="s">
        <v>153</v>
      </c>
      <c r="C39" s="63" t="s">
        <v>32</v>
      </c>
      <c r="D39" s="63" t="s">
        <v>109</v>
      </c>
      <c r="E39" s="63">
        <v>30.54</v>
      </c>
      <c r="F39" s="304" t="s">
        <v>109</v>
      </c>
      <c r="G39" s="304"/>
      <c r="H39" s="304"/>
      <c r="I39" s="304"/>
      <c r="J39" s="304"/>
      <c r="K39" s="304"/>
    </row>
    <row r="40" spans="1:11" x14ac:dyDescent="0.25">
      <c r="A40" s="66" t="s">
        <v>154</v>
      </c>
      <c r="B40" s="56" t="s">
        <v>45</v>
      </c>
      <c r="C40" s="75"/>
      <c r="D40" s="75"/>
      <c r="E40" s="75"/>
      <c r="F40" s="75"/>
      <c r="G40" s="75"/>
      <c r="H40" s="76"/>
      <c r="I40" s="76"/>
      <c r="J40" s="76"/>
      <c r="K40" s="77"/>
    </row>
    <row r="41" spans="1:11" s="53" customFormat="1" ht="47.25" x14ac:dyDescent="0.25">
      <c r="A41" s="60" t="s">
        <v>46</v>
      </c>
      <c r="B41" s="61" t="str">
        <f>'PLANILHA ORÇAMENTÁRIA'!D35</f>
        <v>Quadro de distribuição de energia de embutir, em chapa metálica, para 18 disjuntores termomagnéticos monopolares, com barramento trifásico e neutro, fornecimento e instalação.</v>
      </c>
      <c r="C41" s="63" t="s">
        <v>129</v>
      </c>
      <c r="D41" s="63">
        <v>1</v>
      </c>
      <c r="E41" s="63" t="s">
        <v>109</v>
      </c>
      <c r="F41" s="63" t="s">
        <v>109</v>
      </c>
      <c r="G41" s="63" t="s">
        <v>109</v>
      </c>
      <c r="H41" s="63" t="s">
        <v>109</v>
      </c>
      <c r="I41" s="63" t="s">
        <v>109</v>
      </c>
      <c r="J41" s="63" t="s">
        <v>109</v>
      </c>
      <c r="K41" s="65">
        <f>D41</f>
        <v>1</v>
      </c>
    </row>
    <row r="42" spans="1:11" s="53" customFormat="1" ht="31.5" x14ac:dyDescent="0.25">
      <c r="A42" s="60" t="s">
        <v>48</v>
      </c>
      <c r="B42" s="85" t="str">
        <f>'PLANILHA ORÇAMENTÁRIA'!D36</f>
        <v>Disjuntor termomagnético bipolar padrão Din 10 a 30A 240V, Fornecimento e Instalação</v>
      </c>
      <c r="C42" s="63" t="s">
        <v>129</v>
      </c>
      <c r="D42" s="63">
        <v>6</v>
      </c>
      <c r="E42" s="63" t="s">
        <v>109</v>
      </c>
      <c r="F42" s="63" t="s">
        <v>109</v>
      </c>
      <c r="G42" s="63" t="s">
        <v>109</v>
      </c>
      <c r="H42" s="63" t="s">
        <v>109</v>
      </c>
      <c r="I42" s="63" t="s">
        <v>109</v>
      </c>
      <c r="J42" s="63" t="s">
        <v>109</v>
      </c>
      <c r="K42" s="65">
        <f>D42</f>
        <v>6</v>
      </c>
    </row>
    <row r="43" spans="1:11" s="53" customFormat="1" ht="31.5" x14ac:dyDescent="0.25">
      <c r="A43" s="60" t="s">
        <v>51</v>
      </c>
      <c r="B43" s="61" t="str">
        <f>'PLANILHA ORÇAMENTÁRIA'!D37</f>
        <v>Disjuntor termomagnético tripolar padrão Din 35 a 50A 240V, Fornecimento e Instalação</v>
      </c>
      <c r="C43" s="63" t="s">
        <v>129</v>
      </c>
      <c r="D43" s="63">
        <v>1</v>
      </c>
      <c r="E43" s="63" t="s">
        <v>109</v>
      </c>
      <c r="F43" s="63" t="s">
        <v>109</v>
      </c>
      <c r="G43" s="63" t="s">
        <v>109</v>
      </c>
      <c r="H43" s="63" t="s">
        <v>109</v>
      </c>
      <c r="I43" s="63" t="s">
        <v>109</v>
      </c>
      <c r="J43" s="63" t="s">
        <v>109</v>
      </c>
      <c r="K43" s="65">
        <f>D43</f>
        <v>1</v>
      </c>
    </row>
    <row r="44" spans="1:11" s="53" customFormat="1" x14ac:dyDescent="0.25">
      <c r="A44" s="60" t="s">
        <v>54</v>
      </c>
      <c r="B44" s="73" t="str">
        <f>'PLANILHA ORÇAMENTÁRIA'!D38</f>
        <v>Lampada vapor metálico 400W - Fornecimento e instalação</v>
      </c>
      <c r="C44" s="63" t="s">
        <v>129</v>
      </c>
      <c r="D44" s="63">
        <v>25</v>
      </c>
      <c r="E44" s="63" t="s">
        <v>109</v>
      </c>
      <c r="F44" s="63" t="s">
        <v>109</v>
      </c>
      <c r="G44" s="63" t="s">
        <v>109</v>
      </c>
      <c r="H44" s="63" t="s">
        <v>109</v>
      </c>
      <c r="I44" s="63" t="s">
        <v>109</v>
      </c>
      <c r="J44" s="63" t="s">
        <v>109</v>
      </c>
      <c r="K44" s="65">
        <f>D44</f>
        <v>25</v>
      </c>
    </row>
    <row r="45" spans="1:11" s="53" customFormat="1" ht="47.25" x14ac:dyDescent="0.25">
      <c r="A45" s="60" t="s">
        <v>55</v>
      </c>
      <c r="B45" s="61" t="str">
        <f>'PLANILHA ORÇAMENTÁRIA'!D39</f>
        <v>Ponto de iluminação residencial incluindo interruptor simples, caixa elétrica, eletroduto, cabo, rasgo, quabra e chumbamento (Excluindo luminária e Lâmpada)</v>
      </c>
      <c r="C45" s="63" t="s">
        <v>129</v>
      </c>
      <c r="D45" s="63">
        <v>25</v>
      </c>
      <c r="E45" s="63" t="s">
        <v>109</v>
      </c>
      <c r="F45" s="63" t="s">
        <v>109</v>
      </c>
      <c r="G45" s="63" t="s">
        <v>109</v>
      </c>
      <c r="H45" s="63" t="s">
        <v>109</v>
      </c>
      <c r="I45" s="63" t="s">
        <v>109</v>
      </c>
      <c r="J45" s="63" t="s">
        <v>109</v>
      </c>
      <c r="K45" s="65">
        <f>D45</f>
        <v>25</v>
      </c>
    </row>
    <row r="46" spans="1:11" s="53" customFormat="1" x14ac:dyDescent="0.25">
      <c r="A46" s="316" t="s">
        <v>170</v>
      </c>
      <c r="B46" s="316"/>
      <c r="C46" s="316"/>
      <c r="D46" s="316"/>
      <c r="E46" s="316"/>
      <c r="F46" s="316"/>
      <c r="G46" s="316"/>
      <c r="H46" s="316"/>
      <c r="I46" s="316"/>
      <c r="J46" s="316"/>
      <c r="K46" s="316"/>
    </row>
    <row r="47" spans="1:11" x14ac:dyDescent="0.25">
      <c r="A47" s="66" t="s">
        <v>155</v>
      </c>
      <c r="B47" s="56" t="s">
        <v>57</v>
      </c>
      <c r="C47" s="75"/>
      <c r="D47" s="75"/>
      <c r="E47" s="75"/>
      <c r="F47" s="75"/>
      <c r="G47" s="75"/>
      <c r="H47" s="76"/>
      <c r="I47" s="76"/>
      <c r="J47" s="76"/>
      <c r="K47" s="77"/>
    </row>
    <row r="48" spans="1:11" s="53" customFormat="1" ht="47.25" x14ac:dyDescent="0.25">
      <c r="A48" s="60" t="s">
        <v>58</v>
      </c>
      <c r="B48" s="61" t="str">
        <f>'PLANILHA ORÇAMENTÁRIA'!D41</f>
        <v>Sumidouro retangular, em alvenaria com tijolos cerâmicos maciços, dimensões internas: 0,8 x 1,4 x 3,0 m, área de infiltração: 13,2 m² (para 5 contribuintes). AF_05/2018</v>
      </c>
      <c r="C48" s="63" t="s">
        <v>129</v>
      </c>
      <c r="D48" s="63">
        <v>1</v>
      </c>
      <c r="E48" s="63" t="s">
        <v>109</v>
      </c>
      <c r="F48" s="63" t="s">
        <v>109</v>
      </c>
      <c r="G48" s="63" t="s">
        <v>109</v>
      </c>
      <c r="H48" s="63" t="s">
        <v>109</v>
      </c>
      <c r="I48" s="63" t="s">
        <v>109</v>
      </c>
      <c r="J48" s="63" t="s">
        <v>109</v>
      </c>
      <c r="K48" s="65">
        <f>D48</f>
        <v>1</v>
      </c>
    </row>
    <row r="49" spans="1:11" s="53" customFormat="1" ht="31.5" x14ac:dyDescent="0.25">
      <c r="A49" s="60" t="s">
        <v>59</v>
      </c>
      <c r="B49" s="61" t="str">
        <f>'PLANILHA ORÇAMENTÁRIA'!D42</f>
        <v>Tubo PVC Rígido para esgoto no diâmetro de 100mm incluindo escavação e aterro com areia</v>
      </c>
      <c r="C49" s="63" t="s">
        <v>32</v>
      </c>
      <c r="D49" s="63" t="s">
        <v>109</v>
      </c>
      <c r="E49" s="63" t="s">
        <v>109</v>
      </c>
      <c r="F49" s="63" t="s">
        <v>109</v>
      </c>
      <c r="G49" s="63" t="s">
        <v>109</v>
      </c>
      <c r="H49" s="63" t="s">
        <v>109</v>
      </c>
      <c r="I49" s="63" t="s">
        <v>109</v>
      </c>
      <c r="J49" s="63" t="s">
        <v>109</v>
      </c>
      <c r="K49" s="65">
        <f>ROUND(K50+K51,0)</f>
        <v>99</v>
      </c>
    </row>
    <row r="50" spans="1:11" s="53" customFormat="1" x14ac:dyDescent="0.25">
      <c r="A50" s="60"/>
      <c r="B50" s="86" t="s">
        <v>156</v>
      </c>
      <c r="C50" s="79" t="s">
        <v>32</v>
      </c>
      <c r="D50" s="79" t="s">
        <v>109</v>
      </c>
      <c r="E50" s="79">
        <v>57.36</v>
      </c>
      <c r="F50" s="305" t="s">
        <v>109</v>
      </c>
      <c r="G50" s="305"/>
      <c r="H50" s="305"/>
      <c r="I50" s="305"/>
      <c r="J50" s="305"/>
      <c r="K50" s="87">
        <f>E50</f>
        <v>57.36</v>
      </c>
    </row>
    <row r="51" spans="1:11" s="53" customFormat="1" x14ac:dyDescent="0.25">
      <c r="A51" s="60"/>
      <c r="B51" s="86" t="s">
        <v>157</v>
      </c>
      <c r="C51" s="79" t="s">
        <v>32</v>
      </c>
      <c r="D51" s="79">
        <v>6</v>
      </c>
      <c r="E51" s="79">
        <v>6.9</v>
      </c>
      <c r="F51" s="305" t="s">
        <v>109</v>
      </c>
      <c r="G51" s="305"/>
      <c r="H51" s="305"/>
      <c r="I51" s="305"/>
      <c r="J51" s="305"/>
      <c r="K51" s="87">
        <f>E51*D51</f>
        <v>41.400000000000006</v>
      </c>
    </row>
    <row r="52" spans="1:11" x14ac:dyDescent="0.25">
      <c r="A52" s="66" t="s">
        <v>158</v>
      </c>
      <c r="B52" s="56" t="s">
        <v>133</v>
      </c>
      <c r="C52" s="75"/>
      <c r="D52" s="75"/>
      <c r="E52" s="75"/>
      <c r="F52" s="75"/>
      <c r="G52" s="75"/>
      <c r="H52" s="76"/>
      <c r="I52" s="76"/>
      <c r="J52" s="76"/>
      <c r="K52" s="77"/>
    </row>
    <row r="53" spans="1:11" s="53" customFormat="1" x14ac:dyDescent="0.25">
      <c r="A53" s="60" t="s">
        <v>62</v>
      </c>
      <c r="B53" s="61" t="str">
        <f>'PLANILHA ORÇAMENTÁRIA'!D44</f>
        <v>Luminária de emergência - Fornecimento e Instalação. AF_11/2017</v>
      </c>
      <c r="C53" s="63" t="s">
        <v>129</v>
      </c>
      <c r="D53" s="63">
        <v>6</v>
      </c>
      <c r="E53" s="63" t="s">
        <v>109</v>
      </c>
      <c r="F53" s="63" t="s">
        <v>109</v>
      </c>
      <c r="G53" s="63" t="s">
        <v>109</v>
      </c>
      <c r="H53" s="63" t="s">
        <v>109</v>
      </c>
      <c r="I53" s="63" t="s">
        <v>109</v>
      </c>
      <c r="J53" s="63" t="s">
        <v>109</v>
      </c>
      <c r="K53" s="65">
        <f>D53</f>
        <v>6</v>
      </c>
    </row>
    <row r="54" spans="1:11" s="53" customFormat="1" x14ac:dyDescent="0.25">
      <c r="A54" s="60" t="s">
        <v>63</v>
      </c>
      <c r="B54" s="61" t="str">
        <f>'PLANILHA ORÇAMENTÁRIA'!D45</f>
        <v>Extintor Incêndio TP Pó Quimico 4kg, Fornecimento e Colocação</v>
      </c>
      <c r="C54" s="63" t="s">
        <v>129</v>
      </c>
      <c r="D54" s="63">
        <v>2</v>
      </c>
      <c r="E54" s="63" t="s">
        <v>109</v>
      </c>
      <c r="F54" s="63" t="s">
        <v>109</v>
      </c>
      <c r="G54" s="63" t="s">
        <v>109</v>
      </c>
      <c r="H54" s="63" t="s">
        <v>109</v>
      </c>
      <c r="I54" s="63" t="s">
        <v>109</v>
      </c>
      <c r="J54" s="63" t="s">
        <v>109</v>
      </c>
      <c r="K54" s="65">
        <f>D54</f>
        <v>2</v>
      </c>
    </row>
    <row r="55" spans="1:11" s="200" customFormat="1" x14ac:dyDescent="0.25">
      <c r="A55" s="198" t="s">
        <v>66</v>
      </c>
      <c r="B55" s="199" t="str">
        <f>'PLANILHA ORÇAMENTÁRIA'!D46</f>
        <v>SPDA (Sistema de Proteção Contra Descargas Atmosférica)</v>
      </c>
      <c r="C55" s="72"/>
      <c r="D55" s="72"/>
      <c r="E55" s="72"/>
      <c r="F55" s="72"/>
      <c r="G55" s="72"/>
      <c r="H55" s="72"/>
      <c r="I55" s="72"/>
      <c r="J55" s="72"/>
      <c r="K55" s="65"/>
    </row>
    <row r="56" spans="1:11" s="53" customFormat="1" ht="31.5" x14ac:dyDescent="0.25">
      <c r="A56" s="60" t="s">
        <v>327</v>
      </c>
      <c r="B56" s="61" t="str">
        <f>'PLANILHA ORÇAMENTÁRIA'!D47</f>
        <v>Cordoalha de cobre nu 35mm², não enterrada, com isolador - Fornecimento e instalação. AF_12/2017</v>
      </c>
      <c r="C56" s="63" t="s">
        <v>32</v>
      </c>
      <c r="D56" s="63">
        <v>1</v>
      </c>
      <c r="E56" s="63">
        <v>145</v>
      </c>
      <c r="F56" s="63" t="s">
        <v>109</v>
      </c>
      <c r="G56" s="63" t="s">
        <v>109</v>
      </c>
      <c r="H56" s="63" t="s">
        <v>109</v>
      </c>
      <c r="I56" s="63" t="s">
        <v>109</v>
      </c>
      <c r="J56" s="63" t="s">
        <v>109</v>
      </c>
      <c r="K56" s="65">
        <f>E56*D56</f>
        <v>145</v>
      </c>
    </row>
    <row r="57" spans="1:11" s="53" customFormat="1" x14ac:dyDescent="0.25">
      <c r="A57" s="60" t="s">
        <v>328</v>
      </c>
      <c r="B57" s="61" t="str">
        <f>'PLANILHA ORÇAMENTÁRIA'!D48</f>
        <v>Haste de Aterramento 5/8 para SPDA - Fornecimento e Instalação. AF_12/2017</v>
      </c>
      <c r="C57" s="182" t="s">
        <v>129</v>
      </c>
      <c r="D57" s="182">
        <v>6</v>
      </c>
      <c r="E57" s="182" t="s">
        <v>109</v>
      </c>
      <c r="F57" s="193" t="s">
        <v>109</v>
      </c>
      <c r="G57" s="193" t="s">
        <v>109</v>
      </c>
      <c r="H57" s="193" t="s">
        <v>109</v>
      </c>
      <c r="I57" s="193" t="s">
        <v>109</v>
      </c>
      <c r="J57" s="193" t="s">
        <v>109</v>
      </c>
      <c r="K57" s="65">
        <f>D57</f>
        <v>6</v>
      </c>
    </row>
    <row r="58" spans="1:11" s="53" customFormat="1" x14ac:dyDescent="0.25">
      <c r="A58" s="60" t="s">
        <v>329</v>
      </c>
      <c r="B58" s="61" t="str">
        <f>'PLANILHA ORÇAMENTÁRIA'!D49</f>
        <v>Terminal aéreo em Aço Galvanizado com base de fixação H = 30CM</v>
      </c>
      <c r="C58" s="182" t="s">
        <v>129</v>
      </c>
      <c r="D58" s="182">
        <v>6</v>
      </c>
      <c r="E58" s="193" t="s">
        <v>109</v>
      </c>
      <c r="F58" s="193" t="s">
        <v>109</v>
      </c>
      <c r="G58" s="193" t="s">
        <v>109</v>
      </c>
      <c r="H58" s="193" t="s">
        <v>109</v>
      </c>
      <c r="I58" s="193" t="s">
        <v>109</v>
      </c>
      <c r="J58" s="193" t="s">
        <v>109</v>
      </c>
      <c r="K58" s="65">
        <f t="shared" ref="K58:K64" si="0">D58</f>
        <v>6</v>
      </c>
    </row>
    <row r="59" spans="1:11" s="53" customFormat="1" x14ac:dyDescent="0.25">
      <c r="A59" s="60" t="s">
        <v>330</v>
      </c>
      <c r="B59" s="61" t="str">
        <f>'PLANILHA ORÇAMENTÁRIA'!D50</f>
        <v>Eletroduto PVC 40mm (1 ¼ ) para SPDA - Fornecimento e instalação. AF_12/2017</v>
      </c>
      <c r="C59" s="182" t="s">
        <v>129</v>
      </c>
      <c r="D59" s="182">
        <v>6</v>
      </c>
      <c r="E59" s="193" t="s">
        <v>109</v>
      </c>
      <c r="F59" s="193" t="s">
        <v>109</v>
      </c>
      <c r="G59" s="193" t="s">
        <v>109</v>
      </c>
      <c r="H59" s="193" t="s">
        <v>109</v>
      </c>
      <c r="I59" s="193" t="s">
        <v>109</v>
      </c>
      <c r="J59" s="193" t="s">
        <v>109</v>
      </c>
      <c r="K59" s="65">
        <f t="shared" si="0"/>
        <v>6</v>
      </c>
    </row>
    <row r="60" spans="1:11" s="53" customFormat="1" ht="31.5" x14ac:dyDescent="0.25">
      <c r="A60" s="60" t="s">
        <v>331</v>
      </c>
      <c r="B60" s="61" t="str">
        <f>'PLANILHA ORÇAMENTÁRIA'!D51</f>
        <v>Conector de medição em latão com 2 parafusos para cabos de 16 a 50 mm2, ref. TEL-562, Termotécnica ou equivalente</v>
      </c>
      <c r="C60" s="182" t="s">
        <v>129</v>
      </c>
      <c r="D60" s="182">
        <v>6</v>
      </c>
      <c r="E60" s="193" t="s">
        <v>109</v>
      </c>
      <c r="F60" s="193" t="s">
        <v>109</v>
      </c>
      <c r="G60" s="193" t="s">
        <v>109</v>
      </c>
      <c r="H60" s="193" t="s">
        <v>109</v>
      </c>
      <c r="I60" s="193" t="s">
        <v>109</v>
      </c>
      <c r="J60" s="193" t="s">
        <v>109</v>
      </c>
      <c r="K60" s="65">
        <f t="shared" si="0"/>
        <v>6</v>
      </c>
    </row>
    <row r="61" spans="1:11" s="53" customFormat="1" ht="47.25" x14ac:dyDescent="0.25">
      <c r="A61" s="60" t="s">
        <v>332</v>
      </c>
      <c r="B61" s="61" t="str">
        <f>'PLANILHA ORÇAMENTÁRIA'!D52</f>
        <v>Kit completo para solda Exotérmica (Molde HCL 5/8" Ref: TEL905611 / Cartucho n° 115 Ref: TEL 909115 / Alicate Z 201 Ref: TEL 998201), marca de referência Termotécnica ou equivalente</v>
      </c>
      <c r="C61" s="182" t="s">
        <v>129</v>
      </c>
      <c r="D61" s="182">
        <v>6</v>
      </c>
      <c r="E61" s="193" t="s">
        <v>109</v>
      </c>
      <c r="F61" s="193" t="s">
        <v>109</v>
      </c>
      <c r="G61" s="193" t="s">
        <v>109</v>
      </c>
      <c r="H61" s="193" t="s">
        <v>109</v>
      </c>
      <c r="I61" s="193" t="s">
        <v>109</v>
      </c>
      <c r="J61" s="193" t="s">
        <v>109</v>
      </c>
      <c r="K61" s="65">
        <f t="shared" si="0"/>
        <v>6</v>
      </c>
    </row>
    <row r="62" spans="1:11" s="53" customFormat="1" ht="47.25" x14ac:dyDescent="0.25">
      <c r="A62" s="60" t="s">
        <v>333</v>
      </c>
      <c r="B62" s="61" t="str">
        <f>'PLANILHA ORÇAMENTÁRIA'!D53</f>
        <v>Fixador universal latão estanhado p/ cabos 16 a 70 mm2 ref. 5024, incl. parafuso sextavado M6x45mm, arruela lisa 1/4", bucha nº8, vedação dos furos c/ poliuretano ref. 5905, marca de ref. Termotécnica ou equivalente</v>
      </c>
      <c r="C62" s="182" t="s">
        <v>129</v>
      </c>
      <c r="D62" s="182">
        <v>12</v>
      </c>
      <c r="E62" s="193" t="s">
        <v>109</v>
      </c>
      <c r="F62" s="193" t="s">
        <v>109</v>
      </c>
      <c r="G62" s="193" t="s">
        <v>109</v>
      </c>
      <c r="H62" s="193" t="s">
        <v>109</v>
      </c>
      <c r="I62" s="193" t="s">
        <v>109</v>
      </c>
      <c r="J62" s="193" t="s">
        <v>109</v>
      </c>
      <c r="K62" s="65">
        <f t="shared" si="0"/>
        <v>12</v>
      </c>
    </row>
    <row r="63" spans="1:11" s="53" customFormat="1" ht="47.25" x14ac:dyDescent="0.25">
      <c r="A63" s="60" t="s">
        <v>334</v>
      </c>
      <c r="B63" s="61" t="str">
        <f>'PLANILHA ORÇAMENTÁRIA'!D54</f>
        <v>Caixa de inspeção em PVC, diâmetro 300 mm, ref TEL-552, marca de referência Termotécnica ou equivalente, inclusive
escavação e reaterro</v>
      </c>
      <c r="C63" s="182" t="s">
        <v>129</v>
      </c>
      <c r="D63" s="182">
        <v>6</v>
      </c>
      <c r="E63" s="193" t="s">
        <v>109</v>
      </c>
      <c r="F63" s="193" t="s">
        <v>109</v>
      </c>
      <c r="G63" s="193" t="s">
        <v>109</v>
      </c>
      <c r="H63" s="193" t="s">
        <v>109</v>
      </c>
      <c r="I63" s="193" t="s">
        <v>109</v>
      </c>
      <c r="J63" s="193" t="s">
        <v>109</v>
      </c>
      <c r="K63" s="65">
        <f t="shared" si="0"/>
        <v>6</v>
      </c>
    </row>
    <row r="64" spans="1:11" s="53" customFormat="1" ht="47.25" x14ac:dyDescent="0.25">
      <c r="A64" s="60" t="s">
        <v>335</v>
      </c>
      <c r="B64" s="61" t="str">
        <f>'PLANILHA ORÇAMENTÁRIA'!D55</f>
        <v>Curva 90º de barra chata em alumínio 7/8"x1/8"x300mm, 70mm², ref. TEL-778, marca de referência Termotécnica ou
equivalente</v>
      </c>
      <c r="C64" s="182" t="s">
        <v>129</v>
      </c>
      <c r="D64" s="182">
        <v>6</v>
      </c>
      <c r="E64" s="193" t="s">
        <v>109</v>
      </c>
      <c r="F64" s="193" t="s">
        <v>109</v>
      </c>
      <c r="G64" s="193" t="s">
        <v>109</v>
      </c>
      <c r="H64" s="193" t="s">
        <v>109</v>
      </c>
      <c r="I64" s="193" t="s">
        <v>109</v>
      </c>
      <c r="J64" s="193" t="s">
        <v>109</v>
      </c>
      <c r="K64" s="65">
        <f t="shared" si="0"/>
        <v>6</v>
      </c>
    </row>
    <row r="65" spans="1:14" s="53" customFormat="1" x14ac:dyDescent="0.25">
      <c r="A65" s="60" t="s">
        <v>394</v>
      </c>
      <c r="B65" s="61" t="str">
        <f>'PLANILHA ORÇAMENTÁRIA'!D56</f>
        <v>Cabo de cobre nu 50mm2 - FORNECIMENTO E INSTALACAO</v>
      </c>
      <c r="C65" s="228" t="str">
        <f>'PLANILHA ORÇAMENTÁRIA'!E56</f>
        <v>m</v>
      </c>
      <c r="D65" s="228">
        <v>1</v>
      </c>
      <c r="E65" s="228">
        <v>108</v>
      </c>
      <c r="F65" s="228" t="s">
        <v>109</v>
      </c>
      <c r="G65" s="228" t="s">
        <v>109</v>
      </c>
      <c r="H65" s="228" t="s">
        <v>109</v>
      </c>
      <c r="I65" s="228" t="s">
        <v>109</v>
      </c>
      <c r="J65" s="228" t="s">
        <v>109</v>
      </c>
      <c r="K65" s="65">
        <f>E65</f>
        <v>108</v>
      </c>
    </row>
    <row r="66" spans="1:14" x14ac:dyDescent="0.25">
      <c r="A66" s="66" t="s">
        <v>159</v>
      </c>
      <c r="B66" s="56" t="s">
        <v>67</v>
      </c>
      <c r="C66" s="75"/>
      <c r="D66" s="75"/>
      <c r="E66" s="75"/>
      <c r="F66" s="75"/>
      <c r="G66" s="75"/>
      <c r="H66" s="76"/>
      <c r="I66" s="76"/>
      <c r="J66" s="76"/>
      <c r="K66" s="77"/>
    </row>
    <row r="67" spans="1:14" s="53" customFormat="1" ht="31.5" x14ac:dyDescent="0.25">
      <c r="A67" s="60" t="s">
        <v>68</v>
      </c>
      <c r="B67" s="61" t="str">
        <f>'PLANILHA ORÇAMENTÁRIA'!D58</f>
        <v>Chapisco com argamassa de cimento e areia média ou grossa sem peneirar no traço 1:3, espessura 5 mm</v>
      </c>
      <c r="C67" s="63" t="s">
        <v>13</v>
      </c>
      <c r="D67" s="63" t="s">
        <v>109</v>
      </c>
      <c r="E67" s="63" t="s">
        <v>109</v>
      </c>
      <c r="F67" s="63" t="s">
        <v>109</v>
      </c>
      <c r="G67" s="63" t="s">
        <v>109</v>
      </c>
      <c r="H67" s="63" t="s">
        <v>109</v>
      </c>
      <c r="I67" s="63" t="s">
        <v>109</v>
      </c>
      <c r="J67" s="63" t="s">
        <v>109</v>
      </c>
      <c r="K67" s="65">
        <f>H68</f>
        <v>8.3699999999999992</v>
      </c>
    </row>
    <row r="68" spans="1:14" s="53" customFormat="1" x14ac:dyDescent="0.25">
      <c r="A68" s="60"/>
      <c r="B68" s="69" t="s">
        <v>148</v>
      </c>
      <c r="C68" s="79" t="s">
        <v>13</v>
      </c>
      <c r="D68" s="305" t="s">
        <v>109</v>
      </c>
      <c r="E68" s="305"/>
      <c r="F68" s="305"/>
      <c r="G68" s="305"/>
      <c r="H68" s="79">
        <v>8.3699999999999992</v>
      </c>
      <c r="I68" s="305" t="s">
        <v>109</v>
      </c>
      <c r="J68" s="305"/>
      <c r="K68" s="305"/>
    </row>
    <row r="69" spans="1:14" s="53" customFormat="1" ht="31.5" x14ac:dyDescent="0.25">
      <c r="A69" s="60" t="s">
        <v>70</v>
      </c>
      <c r="B69" s="61" t="str">
        <f>'PLANILHA ORÇAMENTÁRIA'!D59</f>
        <v>Reboco tipo paulista com argamassa de cimento, cal hidratada CH1 e areia no traço 1:0,5:6, espessura 25mm</v>
      </c>
      <c r="C69" s="63" t="s">
        <v>13</v>
      </c>
      <c r="D69" s="63" t="s">
        <v>109</v>
      </c>
      <c r="E69" s="63" t="s">
        <v>109</v>
      </c>
      <c r="F69" s="63" t="s">
        <v>109</v>
      </c>
      <c r="G69" s="63" t="s">
        <v>109</v>
      </c>
      <c r="H69" s="63" t="s">
        <v>109</v>
      </c>
      <c r="I69" s="63" t="s">
        <v>109</v>
      </c>
      <c r="J69" s="63" t="s">
        <v>109</v>
      </c>
      <c r="K69" s="65">
        <f>H70</f>
        <v>8.3699999999999992</v>
      </c>
    </row>
    <row r="70" spans="1:14" s="53" customFormat="1" x14ac:dyDescent="0.25">
      <c r="A70" s="60"/>
      <c r="B70" s="69" t="s">
        <v>148</v>
      </c>
      <c r="C70" s="79" t="s">
        <v>13</v>
      </c>
      <c r="D70" s="305" t="s">
        <v>109</v>
      </c>
      <c r="E70" s="305"/>
      <c r="F70" s="305"/>
      <c r="G70" s="305"/>
      <c r="H70" s="79">
        <v>8.3699999999999992</v>
      </c>
      <c r="I70" s="305" t="s">
        <v>109</v>
      </c>
      <c r="J70" s="305"/>
      <c r="K70" s="305"/>
      <c r="N70" s="53">
        <v>556.64</v>
      </c>
    </row>
    <row r="71" spans="1:14" x14ac:dyDescent="0.25">
      <c r="A71" s="55">
        <v>12</v>
      </c>
      <c r="B71" s="56" t="s">
        <v>134</v>
      </c>
      <c r="C71" s="75"/>
      <c r="D71" s="75"/>
      <c r="E71" s="75"/>
      <c r="F71" s="75"/>
      <c r="G71" s="75"/>
      <c r="H71" s="76"/>
      <c r="I71" s="76"/>
      <c r="J71" s="76"/>
      <c r="K71" s="77"/>
      <c r="N71" s="177">
        <f>N70/H72</f>
        <v>0.98649820959719692</v>
      </c>
    </row>
    <row r="72" spans="1:14" s="53" customFormat="1" x14ac:dyDescent="0.25">
      <c r="A72" s="60" t="s">
        <v>74</v>
      </c>
      <c r="B72" s="61" t="str">
        <f>'PLANILHA ORÇAMENTÁRIA'!D61</f>
        <v>Fornecimento e assentamento de brita 2-drenos e filtros mm</v>
      </c>
      <c r="C72" s="63" t="s">
        <v>13</v>
      </c>
      <c r="D72" s="63">
        <v>1</v>
      </c>
      <c r="E72" s="63">
        <v>30.55</v>
      </c>
      <c r="F72" s="63">
        <v>18.47</v>
      </c>
      <c r="G72" s="63">
        <v>7.0000000000000007E-2</v>
      </c>
      <c r="H72" s="63">
        <f>F72*E72</f>
        <v>564.25850000000003</v>
      </c>
      <c r="I72" s="63">
        <f>H72*J72*G72</f>
        <v>38.964800015909958</v>
      </c>
      <c r="J72" s="63">
        <v>0.98649821000000004</v>
      </c>
      <c r="K72" s="65">
        <f>I72</f>
        <v>38.964800015909958</v>
      </c>
    </row>
    <row r="73" spans="1:14" s="53" customFormat="1" ht="31.5" x14ac:dyDescent="0.25">
      <c r="A73" s="60" t="s">
        <v>75</v>
      </c>
      <c r="B73" s="61" t="str">
        <f>'PLANILHA ORÇAMENTÁRIA'!D62</f>
        <v>Piso em concreto 20MPa preparo mecânico, espessura 7cm, com armação em tela Soldada</v>
      </c>
      <c r="C73" s="63" t="s">
        <v>13</v>
      </c>
      <c r="D73" s="63">
        <v>1</v>
      </c>
      <c r="E73" s="113">
        <v>30.55</v>
      </c>
      <c r="F73" s="113">
        <v>18.47</v>
      </c>
      <c r="G73" s="63" t="s">
        <v>109</v>
      </c>
      <c r="H73" s="63">
        <f>F73*E73</f>
        <v>564.25850000000003</v>
      </c>
      <c r="I73" s="63" t="s">
        <v>109</v>
      </c>
      <c r="J73" s="113">
        <v>0.98649821000000004</v>
      </c>
      <c r="K73" s="65">
        <f>J73*H73</f>
        <v>556.6400002272851</v>
      </c>
    </row>
    <row r="74" spans="1:14" s="53" customFormat="1" x14ac:dyDescent="0.25">
      <c r="A74" s="314" t="s">
        <v>214</v>
      </c>
      <c r="B74" s="315"/>
      <c r="C74" s="315"/>
      <c r="D74" s="315"/>
      <c r="E74" s="315"/>
      <c r="F74" s="315"/>
      <c r="G74" s="315"/>
      <c r="H74" s="315"/>
      <c r="I74" s="315"/>
      <c r="J74" s="315"/>
      <c r="K74" s="315"/>
    </row>
    <row r="75" spans="1:14" s="53" customFormat="1" x14ac:dyDescent="0.25">
      <c r="A75" s="306" t="s">
        <v>215</v>
      </c>
      <c r="B75" s="306"/>
      <c r="C75" s="306"/>
      <c r="D75" s="306"/>
      <c r="E75" s="306"/>
      <c r="F75" s="306"/>
      <c r="G75" s="306"/>
      <c r="H75" s="306"/>
      <c r="I75" s="306"/>
      <c r="J75" s="306"/>
      <c r="K75" s="306"/>
    </row>
    <row r="76" spans="1:14" s="53" customFormat="1" x14ac:dyDescent="0.25">
      <c r="A76" s="306" t="s">
        <v>171</v>
      </c>
      <c r="B76" s="306"/>
      <c r="C76" s="306"/>
      <c r="D76" s="306"/>
      <c r="E76" s="306"/>
      <c r="F76" s="306"/>
      <c r="G76" s="306"/>
      <c r="H76" s="306"/>
      <c r="I76" s="306"/>
      <c r="J76" s="306"/>
      <c r="K76" s="306"/>
    </row>
    <row r="77" spans="1:14" s="53" customFormat="1" ht="47.25" x14ac:dyDescent="0.25">
      <c r="A77" s="60" t="s">
        <v>77</v>
      </c>
      <c r="B77" s="61" t="str">
        <f>'PLANILHA ORÇAMENTÁRIA'!D63</f>
        <v>Fornecimento e assentamento de ladrilho hidráulico pastilhado, vermelho, dim. 20x20 cm, esp. 1.5cm, assentado com pasta de cimento colante, exclusive regularização e lastro</v>
      </c>
      <c r="C77" s="63" t="s">
        <v>13</v>
      </c>
      <c r="D77" s="63" t="s">
        <v>109</v>
      </c>
      <c r="E77" s="63">
        <v>53.45</v>
      </c>
      <c r="F77" s="63">
        <v>0.2</v>
      </c>
      <c r="G77" s="63" t="s">
        <v>109</v>
      </c>
      <c r="H77" s="63">
        <f>F77*E77</f>
        <v>10.690000000000001</v>
      </c>
      <c r="I77" s="63" t="s">
        <v>109</v>
      </c>
      <c r="J77" s="63" t="s">
        <v>109</v>
      </c>
      <c r="K77" s="65">
        <f>H77</f>
        <v>10.690000000000001</v>
      </c>
    </row>
    <row r="78" spans="1:14" x14ac:dyDescent="0.25">
      <c r="A78" s="60" t="s">
        <v>160</v>
      </c>
      <c r="B78" s="61" t="str">
        <f>'PLANILHA ORÇAMENTÁRIA'!D64</f>
        <v>Piso em granito aplicado em ambientes internos. AF_06/2018</v>
      </c>
      <c r="C78" s="63" t="s">
        <v>13</v>
      </c>
      <c r="D78" s="63" t="s">
        <v>109</v>
      </c>
      <c r="E78" s="63">
        <v>1.3</v>
      </c>
      <c r="F78" s="88">
        <v>1.0067950000000001</v>
      </c>
      <c r="G78" s="63" t="s">
        <v>109</v>
      </c>
      <c r="H78" s="63">
        <f>E78*F78</f>
        <v>1.3088335000000002</v>
      </c>
      <c r="I78" s="63" t="s">
        <v>109</v>
      </c>
      <c r="J78" s="63" t="s">
        <v>109</v>
      </c>
      <c r="K78" s="65">
        <f>H78</f>
        <v>1.3088335000000002</v>
      </c>
    </row>
    <row r="79" spans="1:14" ht="31.5" x14ac:dyDescent="0.25">
      <c r="A79" s="60" t="s">
        <v>161</v>
      </c>
      <c r="B79" s="61" t="str">
        <f>'PLANILHA ORÇAMENTÁRIA'!D65</f>
        <v>Piso em Granilite, Marmorite ou Granitina Espessura 8mm, incluso Juntas de dilatação plasticas</v>
      </c>
      <c r="C79" s="63" t="s">
        <v>13</v>
      </c>
      <c r="D79" s="63">
        <v>1</v>
      </c>
      <c r="E79" s="63">
        <v>30.55</v>
      </c>
      <c r="F79" s="63">
        <v>18.47</v>
      </c>
      <c r="G79" s="63" t="s">
        <v>109</v>
      </c>
      <c r="H79" s="63">
        <f>F79*E79</f>
        <v>564.25850000000003</v>
      </c>
      <c r="I79" s="63" t="s">
        <v>109</v>
      </c>
      <c r="J79" s="113">
        <v>0.98649821000000004</v>
      </c>
      <c r="K79" s="65">
        <f>J79*H79</f>
        <v>556.6400002272851</v>
      </c>
    </row>
    <row r="80" spans="1:14" ht="31.5" x14ac:dyDescent="0.25">
      <c r="A80" s="60" t="s">
        <v>162</v>
      </c>
      <c r="B80" s="61" t="str">
        <f>'PLANILHA ORÇAMENTÁRIA'!D66</f>
        <v>Execução de passeio (calçada) ou piso de concreto com concreto moldado in loco, usinado, acabamento convencional, espessura 8 cm, armado. AF_07/2016</v>
      </c>
      <c r="C80" s="63" t="s">
        <v>13</v>
      </c>
      <c r="D80" s="63">
        <v>2</v>
      </c>
      <c r="E80" s="63" t="s">
        <v>109</v>
      </c>
      <c r="F80" s="63" t="s">
        <v>109</v>
      </c>
      <c r="G80" s="63" t="s">
        <v>109</v>
      </c>
      <c r="H80" s="63">
        <f>SUM(H81:H82)</f>
        <v>65.25</v>
      </c>
      <c r="I80" s="63" t="s">
        <v>109</v>
      </c>
      <c r="J80" s="63" t="s">
        <v>109</v>
      </c>
      <c r="K80" s="65">
        <f>H80</f>
        <v>65.25</v>
      </c>
    </row>
    <row r="81" spans="1:11" x14ac:dyDescent="0.25">
      <c r="A81" s="60"/>
      <c r="B81" s="86" t="s">
        <v>163</v>
      </c>
      <c r="C81" s="63" t="s">
        <v>13</v>
      </c>
      <c r="D81" s="304" t="s">
        <v>109</v>
      </c>
      <c r="E81" s="304"/>
      <c r="F81" s="304"/>
      <c r="G81" s="304"/>
      <c r="H81" s="63">
        <v>21.55</v>
      </c>
      <c r="I81" s="304" t="s">
        <v>109</v>
      </c>
      <c r="J81" s="304"/>
      <c r="K81" s="304"/>
    </row>
    <row r="82" spans="1:11" x14ac:dyDescent="0.25">
      <c r="A82" s="60"/>
      <c r="B82" s="86" t="s">
        <v>164</v>
      </c>
      <c r="C82" s="63" t="s">
        <v>13</v>
      </c>
      <c r="D82" s="304" t="s">
        <v>109</v>
      </c>
      <c r="E82" s="304"/>
      <c r="F82" s="304"/>
      <c r="G82" s="304"/>
      <c r="H82" s="63">
        <v>43.7</v>
      </c>
      <c r="I82" s="304" t="s">
        <v>109</v>
      </c>
      <c r="J82" s="304"/>
      <c r="K82" s="304"/>
    </row>
    <row r="83" spans="1:11" x14ac:dyDescent="0.25">
      <c r="A83" s="66" t="s">
        <v>166</v>
      </c>
      <c r="B83" s="56" t="s">
        <v>78</v>
      </c>
      <c r="C83" s="75"/>
      <c r="D83" s="75"/>
      <c r="E83" s="75"/>
      <c r="F83" s="75"/>
      <c r="G83" s="75"/>
      <c r="H83" s="76"/>
      <c r="I83" s="76"/>
      <c r="J83" s="76"/>
      <c r="K83" s="77"/>
    </row>
    <row r="84" spans="1:11" s="53" customFormat="1" ht="31.5" x14ac:dyDescent="0.25">
      <c r="A84" s="60" t="s">
        <v>79</v>
      </c>
      <c r="B84" s="61" t="str">
        <f>'PLANILHA ORÇAMENTÁRIA'!D68</f>
        <v>Pintura com tinta acrílica Suvinil, Coral ou Metalatex, inclusive selador acrílico, em paredes externas a três demãos</v>
      </c>
      <c r="C84" s="63" t="s">
        <v>13</v>
      </c>
      <c r="D84" s="63">
        <v>1</v>
      </c>
      <c r="E84" s="63" t="s">
        <v>109</v>
      </c>
      <c r="F84" s="63" t="s">
        <v>109</v>
      </c>
      <c r="G84" s="63" t="s">
        <v>109</v>
      </c>
      <c r="H84" s="63" t="s">
        <v>109</v>
      </c>
      <c r="I84" s="63" t="s">
        <v>109</v>
      </c>
      <c r="J84" s="63" t="s">
        <v>109</v>
      </c>
      <c r="K84" s="65">
        <f>H85+K86</f>
        <v>12.419999999999998</v>
      </c>
    </row>
    <row r="85" spans="1:11" s="53" customFormat="1" x14ac:dyDescent="0.25">
      <c r="A85" s="60"/>
      <c r="B85" s="69" t="s">
        <v>148</v>
      </c>
      <c r="C85" s="79" t="s">
        <v>13</v>
      </c>
      <c r="D85" s="305" t="s">
        <v>109</v>
      </c>
      <c r="E85" s="305"/>
      <c r="F85" s="305"/>
      <c r="G85" s="305"/>
      <c r="H85" s="79">
        <v>8.3699999999999992</v>
      </c>
      <c r="I85" s="305" t="s">
        <v>109</v>
      </c>
      <c r="J85" s="305"/>
      <c r="K85" s="305"/>
    </row>
    <row r="86" spans="1:11" s="53" customFormat="1" x14ac:dyDescent="0.25">
      <c r="A86" s="180"/>
      <c r="B86" s="69" t="s">
        <v>222</v>
      </c>
      <c r="C86" s="179" t="s">
        <v>32</v>
      </c>
      <c r="D86" s="179">
        <v>2</v>
      </c>
      <c r="E86" s="179">
        <v>4</v>
      </c>
      <c r="F86" s="179">
        <v>0.5</v>
      </c>
      <c r="G86" s="179">
        <v>0.45</v>
      </c>
      <c r="H86" s="179">
        <f>(E86+F86)*G86</f>
        <v>2.0249999999999999</v>
      </c>
      <c r="I86" s="179" t="s">
        <v>109</v>
      </c>
      <c r="J86" s="179" t="s">
        <v>109</v>
      </c>
      <c r="K86" s="187">
        <f>H86*D86</f>
        <v>4.05</v>
      </c>
    </row>
    <row r="87" spans="1:11" s="53" customFormat="1" x14ac:dyDescent="0.25">
      <c r="A87" s="60" t="s">
        <v>81</v>
      </c>
      <c r="B87" s="61" t="str">
        <f>'PLANILHA ORÇAMENTÁRIA'!D69</f>
        <v>Pintura acrílica de faixas de demarcação em quadra poliesportiva, 5cm</v>
      </c>
      <c r="C87" s="63" t="s">
        <v>32</v>
      </c>
      <c r="D87" s="63" t="s">
        <v>109</v>
      </c>
      <c r="E87" s="63">
        <v>276.61</v>
      </c>
      <c r="F87" s="63" t="s">
        <v>109</v>
      </c>
      <c r="G87" s="63" t="s">
        <v>109</v>
      </c>
      <c r="H87" s="63" t="s">
        <v>109</v>
      </c>
      <c r="I87" s="63" t="s">
        <v>109</v>
      </c>
      <c r="J87" s="63" t="s">
        <v>109</v>
      </c>
      <c r="K87" s="65">
        <f>E87</f>
        <v>276.61</v>
      </c>
    </row>
    <row r="88" spans="1:11" s="53" customFormat="1" x14ac:dyDescent="0.25">
      <c r="A88" s="55" t="s">
        <v>167</v>
      </c>
      <c r="B88" s="225" t="str">
        <f>'PLANILHA ORÇAMENTÁRIA'!D70</f>
        <v>ESCADA/RAMPA/PATAMAR</v>
      </c>
      <c r="C88" s="226"/>
      <c r="D88" s="226"/>
      <c r="E88" s="226"/>
      <c r="F88" s="226"/>
      <c r="G88" s="226"/>
      <c r="H88" s="226"/>
      <c r="I88" s="226"/>
      <c r="J88" s="226"/>
      <c r="K88" s="77"/>
    </row>
    <row r="89" spans="1:11" s="53" customFormat="1" x14ac:dyDescent="0.25">
      <c r="A89" s="198" t="str">
        <f>'PLANILHA ORÇAMENTÁRIA'!A71</f>
        <v>14.1</v>
      </c>
      <c r="B89" s="199" t="str">
        <f>'PLANILHA ORÇAMENTÁRIA'!D71</f>
        <v>Fundação - Bloco</v>
      </c>
      <c r="C89" s="72"/>
      <c r="D89" s="72"/>
      <c r="E89" s="72"/>
      <c r="F89" s="72"/>
      <c r="G89" s="72"/>
      <c r="H89" s="72"/>
      <c r="I89" s="72"/>
      <c r="J89" s="72"/>
      <c r="K89" s="65"/>
    </row>
    <row r="90" spans="1:11" s="53" customFormat="1" x14ac:dyDescent="0.25">
      <c r="A90" s="60" t="str">
        <f>'PLANILHA ORÇAMENTÁRIA'!A72</f>
        <v>14.1.1</v>
      </c>
      <c r="B90" s="61" t="str">
        <f>'PLANILHA ORÇAMENTÁRIA'!D72</f>
        <v>Lastro de concreto não estrutural, espessura de 6 cm</v>
      </c>
      <c r="C90" s="193" t="str">
        <f>'PLANILHA ORÇAMENTÁRIA'!E72</f>
        <v>m²</v>
      </c>
      <c r="D90" s="193">
        <v>8</v>
      </c>
      <c r="E90" s="193">
        <v>0.6</v>
      </c>
      <c r="F90" s="193">
        <v>0.6</v>
      </c>
      <c r="G90" s="193" t="s">
        <v>109</v>
      </c>
      <c r="H90" s="193" t="s">
        <v>109</v>
      </c>
      <c r="I90" s="193" t="s">
        <v>109</v>
      </c>
      <c r="J90" s="193" t="s">
        <v>109</v>
      </c>
      <c r="K90" s="65">
        <f>F90*E90*D90</f>
        <v>2.88</v>
      </c>
    </row>
    <row r="91" spans="1:11" s="53" customFormat="1" ht="31.5" x14ac:dyDescent="0.25">
      <c r="A91" s="60" t="str">
        <f>'PLANILHA ORÇAMENTÁRIA'!A73</f>
        <v>14.1.2</v>
      </c>
      <c r="B91" s="61" t="str">
        <f>'PLANILHA ORÇAMENTÁRIA'!D73</f>
        <v>Fôrma de chapa compensada resinada 12mm, levando-se em conta a utilização 3 vezes (incluido o material, corte, montagem, escoramento e desfôrma)</v>
      </c>
      <c r="C91" s="193" t="str">
        <f>'PLANILHA ORÇAMENTÁRIA'!E73</f>
        <v>m²</v>
      </c>
      <c r="D91" s="193">
        <v>8</v>
      </c>
      <c r="E91" s="193">
        <v>0.6</v>
      </c>
      <c r="F91" s="193">
        <v>0.6</v>
      </c>
      <c r="G91" s="193">
        <v>0.25</v>
      </c>
      <c r="H91" s="193">
        <f>F91*4*G91</f>
        <v>0.6</v>
      </c>
      <c r="I91" s="193" t="s">
        <v>109</v>
      </c>
      <c r="J91" s="193" t="s">
        <v>109</v>
      </c>
      <c r="K91" s="65">
        <f>H91*D91</f>
        <v>4.8</v>
      </c>
    </row>
    <row r="92" spans="1:11" s="53" customFormat="1" x14ac:dyDescent="0.25">
      <c r="A92" s="60" t="str">
        <f>'PLANILHA ORÇAMENTÁRIA'!A74</f>
        <v>14.1.3</v>
      </c>
      <c r="B92" s="61" t="str">
        <f>'PLANILHA ORÇAMENTÁRIA'!D74</f>
        <v>Armação de Bloco, Viga Baldrame ou sapata utilizando Aço CA-50 de 8mm</v>
      </c>
      <c r="C92" s="193" t="str">
        <f>'PLANILHA ORÇAMENTÁRIA'!E74</f>
        <v>kg</v>
      </c>
      <c r="D92" s="193">
        <v>8</v>
      </c>
      <c r="E92" s="193">
        <f>0.64*10*D92</f>
        <v>51.2</v>
      </c>
      <c r="F92" s="193" t="s">
        <v>109</v>
      </c>
      <c r="G92" s="193" t="s">
        <v>109</v>
      </c>
      <c r="H92" s="193" t="s">
        <v>109</v>
      </c>
      <c r="I92" s="193" t="s">
        <v>109</v>
      </c>
      <c r="J92" s="227">
        <v>0.39500000000000002</v>
      </c>
      <c r="K92" s="65">
        <f>ROUND(J92*E92,2)</f>
        <v>20.22</v>
      </c>
    </row>
    <row r="93" spans="1:11" s="53" customFormat="1" x14ac:dyDescent="0.25">
      <c r="A93" s="60" t="str">
        <f>'PLANILHA ORÇAMENTÁRIA'!A75</f>
        <v>14.1.4</v>
      </c>
      <c r="B93" s="61" t="str">
        <f>'PLANILHA ORÇAMENTÁRIA'!D75</f>
        <v>Concreto FCK = 25MPA, Traço 1:2,3:2,7 (Cimento/ Areia / Média / Brita 1)</v>
      </c>
      <c r="C93" s="193" t="str">
        <f>'PLANILHA ORÇAMENTÁRIA'!E75</f>
        <v>m³</v>
      </c>
      <c r="D93" s="193">
        <v>8</v>
      </c>
      <c r="E93" s="193">
        <v>0.6</v>
      </c>
      <c r="F93" s="193">
        <v>0.6</v>
      </c>
      <c r="G93" s="193">
        <v>0.25</v>
      </c>
      <c r="H93" s="193">
        <f>F93*E93</f>
        <v>0.36</v>
      </c>
      <c r="I93" s="193">
        <f>H93*G93</f>
        <v>0.09</v>
      </c>
      <c r="J93" s="193" t="s">
        <v>109</v>
      </c>
      <c r="K93" s="65">
        <f>I93*D93</f>
        <v>0.72</v>
      </c>
    </row>
    <row r="94" spans="1:11" s="53" customFormat="1" x14ac:dyDescent="0.25">
      <c r="A94" s="60" t="str">
        <f>'PLANILHA ORÇAMENTÁRIA'!A76</f>
        <v>14.1.5</v>
      </c>
      <c r="B94" s="61" t="str">
        <f>'PLANILHA ORÇAMENTÁRIA'!D76</f>
        <v>Lançamento com uso de baldes, adensamento e acabamento de Concreto</v>
      </c>
      <c r="C94" s="193" t="str">
        <f>'PLANILHA ORÇAMENTÁRIA'!E76</f>
        <v>m³</v>
      </c>
      <c r="D94" s="193">
        <v>8</v>
      </c>
      <c r="E94" s="193">
        <v>0.6</v>
      </c>
      <c r="F94" s="193">
        <v>0.6</v>
      </c>
      <c r="G94" s="193">
        <v>0.25</v>
      </c>
      <c r="H94" s="193">
        <f>F94*E94</f>
        <v>0.36</v>
      </c>
      <c r="I94" s="193">
        <f>H94*G94</f>
        <v>0.09</v>
      </c>
      <c r="J94" s="193" t="s">
        <v>109</v>
      </c>
      <c r="K94" s="65">
        <f>I94*D94</f>
        <v>0.72</v>
      </c>
    </row>
    <row r="95" spans="1:11" s="53" customFormat="1" x14ac:dyDescent="0.25">
      <c r="A95" s="198" t="s">
        <v>86</v>
      </c>
      <c r="B95" s="199" t="str">
        <f>'PLANILHA ORÇAMENTÁRIA'!D77</f>
        <v>Fundação - Baldrame</v>
      </c>
      <c r="C95" s="72"/>
      <c r="D95" s="72"/>
      <c r="E95" s="72"/>
      <c r="F95" s="72"/>
      <c r="G95" s="72"/>
      <c r="H95" s="72"/>
      <c r="I95" s="72"/>
      <c r="J95" s="72"/>
      <c r="K95" s="65"/>
    </row>
    <row r="96" spans="1:11" s="53" customFormat="1" ht="31.5" x14ac:dyDescent="0.25">
      <c r="A96" s="60" t="str">
        <f>'PLANILHA ORÇAMENTÁRIA'!A78</f>
        <v>14.2.1</v>
      </c>
      <c r="B96" s="61" t="str">
        <f>'PLANILHA ORÇAMENTÁRIA'!D78</f>
        <v>Fôrma de chapa compensada resinada 12mm, levando-se em conta a utilização 3 vezes (incluido o material, corte, montagem, escoramento e desfôrma)</v>
      </c>
      <c r="C96" s="193" t="str">
        <f>'PLANILHA ORÇAMENTÁRIA'!E78</f>
        <v>m²</v>
      </c>
      <c r="D96" s="193" t="s">
        <v>109</v>
      </c>
      <c r="E96" s="193">
        <v>22.53</v>
      </c>
      <c r="F96" s="193">
        <v>0.13</v>
      </c>
      <c r="G96" s="193">
        <v>0.2</v>
      </c>
      <c r="H96" s="193">
        <f>(G96*E96*2)+(F96*E96)</f>
        <v>11.940900000000001</v>
      </c>
      <c r="I96" s="193" t="s">
        <v>109</v>
      </c>
      <c r="J96" s="193" t="s">
        <v>109</v>
      </c>
      <c r="K96" s="65">
        <f>H96</f>
        <v>11.940900000000001</v>
      </c>
    </row>
    <row r="97" spans="1:11" s="53" customFormat="1" x14ac:dyDescent="0.25">
      <c r="A97" s="60" t="str">
        <f>'PLANILHA ORÇAMENTÁRIA'!A79</f>
        <v>14.2.2</v>
      </c>
      <c r="B97" s="61" t="str">
        <f>'PLANILHA ORÇAMENTÁRIA'!D79</f>
        <v>Armação de Bloco, Viga Baldrame ou sapata utilizando Aço CA-50 de 8mm</v>
      </c>
      <c r="C97" s="193" t="str">
        <f>'PLANILHA ORÇAMENTÁRIA'!E79</f>
        <v>kg</v>
      </c>
      <c r="D97" s="193">
        <v>4</v>
      </c>
      <c r="E97" s="193">
        <v>22.53</v>
      </c>
      <c r="F97" s="193" t="s">
        <v>109</v>
      </c>
      <c r="G97" s="193" t="s">
        <v>109</v>
      </c>
      <c r="H97" s="193" t="s">
        <v>109</v>
      </c>
      <c r="I97" s="193" t="s">
        <v>109</v>
      </c>
      <c r="J97" s="227">
        <v>0.39500000000000002</v>
      </c>
      <c r="K97" s="65">
        <f>ROUND(E97*D97*J97,2)</f>
        <v>35.6</v>
      </c>
    </row>
    <row r="98" spans="1:11" s="53" customFormat="1" x14ac:dyDescent="0.25">
      <c r="A98" s="60" t="str">
        <f>'PLANILHA ORÇAMENTÁRIA'!A80</f>
        <v>14.2.3</v>
      </c>
      <c r="B98" s="61" t="str">
        <f>'PLANILHA ORÇAMENTÁRIA'!D80</f>
        <v>Concreto FCK = 25MPA, Traço 1:2,3:2,7 (Cimento/ Areia / Média / Brita 1)</v>
      </c>
      <c r="C98" s="193" t="str">
        <f>'PLANILHA ORÇAMENTÁRIA'!E80</f>
        <v>m³</v>
      </c>
      <c r="D98" s="193" t="s">
        <v>109</v>
      </c>
      <c r="E98" s="193">
        <v>22.53</v>
      </c>
      <c r="F98" s="193">
        <v>0.13</v>
      </c>
      <c r="G98" s="193">
        <v>0.2</v>
      </c>
      <c r="H98" s="193">
        <f>G98*F98</f>
        <v>2.6000000000000002E-2</v>
      </c>
      <c r="I98" s="193">
        <f>H98*E98</f>
        <v>0.58578000000000008</v>
      </c>
      <c r="J98" s="193" t="s">
        <v>109</v>
      </c>
      <c r="K98" s="65">
        <f>I98</f>
        <v>0.58578000000000008</v>
      </c>
    </row>
    <row r="99" spans="1:11" s="53" customFormat="1" x14ac:dyDescent="0.25">
      <c r="A99" s="60" t="str">
        <f>'PLANILHA ORÇAMENTÁRIA'!A81</f>
        <v>14.2.4</v>
      </c>
      <c r="B99" s="61" t="str">
        <f>'PLANILHA ORÇAMENTÁRIA'!D81</f>
        <v>Lançamento com uso de baldes, adensamento e acabamento de Concreto</v>
      </c>
      <c r="C99" s="193" t="str">
        <f>'PLANILHA ORÇAMENTÁRIA'!E81</f>
        <v>m³</v>
      </c>
      <c r="D99" s="193" t="s">
        <v>109</v>
      </c>
      <c r="E99" s="193">
        <v>22.53</v>
      </c>
      <c r="F99" s="193">
        <v>0.13</v>
      </c>
      <c r="G99" s="193">
        <v>0.2</v>
      </c>
      <c r="H99" s="193">
        <f>G99*F99</f>
        <v>2.6000000000000002E-2</v>
      </c>
      <c r="I99" s="193">
        <f>H99*E99</f>
        <v>0.58578000000000008</v>
      </c>
      <c r="J99" s="193" t="s">
        <v>109</v>
      </c>
      <c r="K99" s="65">
        <f>I99</f>
        <v>0.58578000000000008</v>
      </c>
    </row>
    <row r="100" spans="1:11" s="53" customFormat="1" ht="47.25" x14ac:dyDescent="0.25">
      <c r="A100" s="60" t="str">
        <f>'PLANILHA ORÇAMENTÁRIA'!A82</f>
        <v>14.2.5</v>
      </c>
      <c r="B100" s="61" t="str">
        <f>'PLANILHA ORÇAMENTÁRIA'!D82</f>
        <v>Armação de pilar ou viga de uma estrutura convencional de concreto armado em uma edificação térrea ou sobrado utilizando aço CA-60 de 5,0 mm - Montagem. AF_12/2015</v>
      </c>
      <c r="C100" s="228" t="str">
        <f>'PLANILHA ORÇAMENTÁRIA'!E82</f>
        <v>kg</v>
      </c>
      <c r="D100" s="228" t="s">
        <v>109</v>
      </c>
      <c r="E100" s="228">
        <v>67.5</v>
      </c>
      <c r="F100" s="228" t="s">
        <v>109</v>
      </c>
      <c r="G100" s="228" t="s">
        <v>109</v>
      </c>
      <c r="H100" s="228" t="s">
        <v>109</v>
      </c>
      <c r="I100" s="228" t="s">
        <v>109</v>
      </c>
      <c r="J100" s="227">
        <f>0.154</f>
        <v>0.154</v>
      </c>
      <c r="K100" s="65">
        <f>ROUND(J100*E100,2)</f>
        <v>10.4</v>
      </c>
    </row>
    <row r="101" spans="1:11" s="53" customFormat="1" x14ac:dyDescent="0.25">
      <c r="A101" s="198" t="s">
        <v>88</v>
      </c>
      <c r="B101" s="199" t="str">
        <f>'PLANILHA ORÇAMENTÁRIA'!D83</f>
        <v>Pilares</v>
      </c>
      <c r="C101" s="72"/>
      <c r="D101" s="72"/>
      <c r="E101" s="72"/>
      <c r="F101" s="72"/>
      <c r="G101" s="72"/>
      <c r="H101" s="72"/>
      <c r="I101" s="72"/>
      <c r="J101" s="72"/>
      <c r="K101" s="65"/>
    </row>
    <row r="102" spans="1:11" s="53" customFormat="1" ht="31.5" x14ac:dyDescent="0.25">
      <c r="A102" s="60" t="str">
        <f>'PLANILHA ORÇAMENTÁRIA'!A84</f>
        <v>14.3.1</v>
      </c>
      <c r="B102" s="61" t="str">
        <f>'PLANILHA ORÇAMENTÁRIA'!D84</f>
        <v>Fôrma de chapa compensada resinada 12mm, levando-se em conta a utilização 3 vezes (incluido o material, corte, montagem, escoramento e desfôrma)</v>
      </c>
      <c r="C102" s="193" t="str">
        <f>'PLANILHA ORÇAMENTÁRIA'!E84</f>
        <v>m²</v>
      </c>
      <c r="D102" s="193">
        <v>6</v>
      </c>
      <c r="E102" s="193">
        <v>0.2</v>
      </c>
      <c r="F102" s="193">
        <v>0.13</v>
      </c>
      <c r="G102" s="193">
        <v>1</v>
      </c>
      <c r="H102" s="193">
        <f>(G102*F102*2)+(E102*G102*2)</f>
        <v>0.66</v>
      </c>
      <c r="I102" s="193" t="s">
        <v>109</v>
      </c>
      <c r="J102" s="193" t="s">
        <v>109</v>
      </c>
      <c r="K102" s="65">
        <f>H102*D102</f>
        <v>3.96</v>
      </c>
    </row>
    <row r="103" spans="1:11" s="53" customFormat="1" ht="47.25" x14ac:dyDescent="0.25">
      <c r="A103" s="60" t="str">
        <f>'PLANILHA ORÇAMENTÁRIA'!A85</f>
        <v>14.3.2</v>
      </c>
      <c r="B103" s="61" t="str">
        <f>'PLANILHA ORÇAMENTÁRIA'!D85</f>
        <v>Armação de pilar ou viga de uma estrutura convencional de concreto armado em um edifício de múltiplos pavimentos utilizando aço CA-50 de 8,0mm - Montagem. AF_12/2015</v>
      </c>
      <c r="C103" s="193" t="str">
        <f>'PLANILHA ORÇAMENTÁRIA'!E85</f>
        <v>kg</v>
      </c>
      <c r="D103" s="193">
        <v>6</v>
      </c>
      <c r="E103" s="193">
        <f>1.2*4</f>
        <v>4.8</v>
      </c>
      <c r="F103" s="193" t="s">
        <v>109</v>
      </c>
      <c r="G103" s="193" t="s">
        <v>109</v>
      </c>
      <c r="H103" s="193" t="s">
        <v>109</v>
      </c>
      <c r="I103" s="193" t="s">
        <v>109</v>
      </c>
      <c r="J103" s="227">
        <v>0.39500000000000002</v>
      </c>
      <c r="K103" s="65">
        <f>ROUND(E103*D103*J103,2)</f>
        <v>11.38</v>
      </c>
    </row>
    <row r="104" spans="1:11" s="53" customFormat="1" x14ac:dyDescent="0.25">
      <c r="A104" s="60" t="str">
        <f>'PLANILHA ORÇAMENTÁRIA'!A86</f>
        <v>14.3.3</v>
      </c>
      <c r="B104" s="61" t="str">
        <f>'PLANILHA ORÇAMENTÁRIA'!D86</f>
        <v>Concreto FCK = 25MPA, Traço 1:2,3:2,7 (Cimento/ Areia / Média / Brita 1)</v>
      </c>
      <c r="C104" s="193" t="str">
        <f>'PLANILHA ORÇAMENTÁRIA'!E86</f>
        <v>m³</v>
      </c>
      <c r="D104" s="193">
        <v>6</v>
      </c>
      <c r="E104" s="193">
        <v>0.2</v>
      </c>
      <c r="F104" s="193">
        <v>0.13</v>
      </c>
      <c r="G104" s="193">
        <v>1</v>
      </c>
      <c r="H104" s="193">
        <f>F104*E104</f>
        <v>2.6000000000000002E-2</v>
      </c>
      <c r="I104" s="193">
        <f>H104*G104</f>
        <v>2.6000000000000002E-2</v>
      </c>
      <c r="J104" s="193" t="s">
        <v>109</v>
      </c>
      <c r="K104" s="65">
        <f>I104*D104</f>
        <v>0.15600000000000003</v>
      </c>
    </row>
    <row r="105" spans="1:11" s="53" customFormat="1" x14ac:dyDescent="0.25">
      <c r="A105" s="60" t="str">
        <f>'PLANILHA ORÇAMENTÁRIA'!A87</f>
        <v>14.3.4</v>
      </c>
      <c r="B105" s="61" t="str">
        <f>'PLANILHA ORÇAMENTÁRIA'!D87</f>
        <v>Lançamento com uso de baldes, adensamento e acabamento de Concreto</v>
      </c>
      <c r="C105" s="193" t="str">
        <f>'PLANILHA ORÇAMENTÁRIA'!E87</f>
        <v>m³</v>
      </c>
      <c r="D105" s="193">
        <v>6</v>
      </c>
      <c r="E105" s="193">
        <v>0.2</v>
      </c>
      <c r="F105" s="193">
        <v>0.13</v>
      </c>
      <c r="G105" s="193">
        <v>1</v>
      </c>
      <c r="H105" s="193">
        <f>F105*E105</f>
        <v>2.6000000000000002E-2</v>
      </c>
      <c r="I105" s="193">
        <f>H105*G105</f>
        <v>2.6000000000000002E-2</v>
      </c>
      <c r="J105" s="193" t="s">
        <v>109</v>
      </c>
      <c r="K105" s="65">
        <f>I105*D105</f>
        <v>0.15600000000000003</v>
      </c>
    </row>
    <row r="106" spans="1:11" s="53" customFormat="1" ht="47.25" x14ac:dyDescent="0.25">
      <c r="A106" s="60" t="s">
        <v>398</v>
      </c>
      <c r="B106" s="61" t="str">
        <f>'PLANILHA ORÇAMENTÁRIA'!D88</f>
        <v>Armação de pilar ou viga de uma estrutura convencional de concreto armado em uma edificação térrea ou sobrado utilizando aço CA-60 de 5,0 mm - Montagem. AF_12/2015</v>
      </c>
      <c r="C106" s="228" t="s">
        <v>36</v>
      </c>
      <c r="D106" s="228" t="s">
        <v>109</v>
      </c>
      <c r="E106" s="228">
        <v>21.6</v>
      </c>
      <c r="F106" s="228" t="s">
        <v>109</v>
      </c>
      <c r="G106" s="228" t="s">
        <v>109</v>
      </c>
      <c r="H106" s="228" t="s">
        <v>109</v>
      </c>
      <c r="I106" s="228" t="s">
        <v>109</v>
      </c>
      <c r="J106" s="227">
        <v>0.154</v>
      </c>
      <c r="K106" s="65">
        <f>ROUND(J106*E106,2)</f>
        <v>3.33</v>
      </c>
    </row>
    <row r="107" spans="1:11" s="53" customFormat="1" x14ac:dyDescent="0.25">
      <c r="A107" s="198" t="s">
        <v>90</v>
      </c>
      <c r="B107" s="199" t="str">
        <f>'PLANILHA ORÇAMENTÁRIA'!D89</f>
        <v>Vigas</v>
      </c>
      <c r="C107" s="72"/>
      <c r="D107" s="72"/>
      <c r="E107" s="72"/>
      <c r="F107" s="72"/>
      <c r="G107" s="72"/>
      <c r="H107" s="72"/>
      <c r="I107" s="72"/>
      <c r="J107" s="72"/>
      <c r="K107" s="65"/>
    </row>
    <row r="108" spans="1:11" s="53" customFormat="1" ht="31.5" x14ac:dyDescent="0.25">
      <c r="A108" s="60" t="str">
        <f>'PLANILHA ORÇAMENTÁRIA'!A90</f>
        <v>14.4.1</v>
      </c>
      <c r="B108" s="61" t="str">
        <f>'PLANILHA ORÇAMENTÁRIA'!D90</f>
        <v>Fôrma de chapa compensada resinada 12mm, levando-se em conta a utilização 3 vezes (incluido o material, corte, montagem, escoramento e desfôrma)</v>
      </c>
      <c r="C108" s="193" t="str">
        <f>'PLANILHA ORÇAMENTÁRIA'!E90</f>
        <v>m²</v>
      </c>
      <c r="D108" s="193" t="s">
        <v>109</v>
      </c>
      <c r="E108" s="193">
        <v>22.53</v>
      </c>
      <c r="F108" s="193">
        <v>0.13</v>
      </c>
      <c r="G108" s="193">
        <v>0.2</v>
      </c>
      <c r="H108" s="193">
        <f>(E108*F108)+(G108*E108*2)</f>
        <v>11.940900000000001</v>
      </c>
      <c r="I108" s="193" t="s">
        <v>109</v>
      </c>
      <c r="J108" s="193" t="s">
        <v>109</v>
      </c>
      <c r="K108" s="65">
        <f>H108</f>
        <v>11.940900000000001</v>
      </c>
    </row>
    <row r="109" spans="1:11" s="53" customFormat="1" ht="47.25" x14ac:dyDescent="0.25">
      <c r="A109" s="60" t="str">
        <f>'PLANILHA ORÇAMENTÁRIA'!A91</f>
        <v>14.4.2</v>
      </c>
      <c r="B109" s="61" t="str">
        <f>'PLANILHA ORÇAMENTÁRIA'!D91</f>
        <v>Armação de pilar ou viga de uma estrutura convencional de concreto armado em um edifício de múltiplos pavimentos utilizando aço CA-50 de 8,0mm - Montagem. AF_12/2015</v>
      </c>
      <c r="C109" s="193" t="str">
        <f>'PLANILHA ORÇAMENTÁRIA'!E91</f>
        <v>kg</v>
      </c>
      <c r="D109" s="193">
        <v>4</v>
      </c>
      <c r="E109" s="193">
        <v>22.53</v>
      </c>
      <c r="F109" s="193" t="s">
        <v>109</v>
      </c>
      <c r="G109" s="193" t="s">
        <v>109</v>
      </c>
      <c r="H109" s="193" t="s">
        <v>109</v>
      </c>
      <c r="I109" s="193" t="s">
        <v>109</v>
      </c>
      <c r="J109" s="227">
        <v>0.39500000000000002</v>
      </c>
      <c r="K109" s="65">
        <f>ROUND(J109*E109*D109,2)</f>
        <v>35.6</v>
      </c>
    </row>
    <row r="110" spans="1:11" s="53" customFormat="1" x14ac:dyDescent="0.25">
      <c r="A110" s="60" t="str">
        <f>'PLANILHA ORÇAMENTÁRIA'!A92</f>
        <v>14.4.3</v>
      </c>
      <c r="B110" s="61" t="str">
        <f>'PLANILHA ORÇAMENTÁRIA'!D92</f>
        <v>Concreto FCK = 25MPA, Traço 1:2,3:2,7 (Cimento/ Areia / Média / Brita 1)</v>
      </c>
      <c r="C110" s="193" t="str">
        <f>'PLANILHA ORÇAMENTÁRIA'!E92</f>
        <v>m³</v>
      </c>
      <c r="D110" s="193" t="s">
        <v>109</v>
      </c>
      <c r="E110" s="193">
        <v>22.53</v>
      </c>
      <c r="F110" s="193">
        <v>0.13</v>
      </c>
      <c r="G110" s="193">
        <v>0.2</v>
      </c>
      <c r="H110" s="193">
        <f>G110*F110</f>
        <v>2.6000000000000002E-2</v>
      </c>
      <c r="I110" s="193">
        <f>H110*E110</f>
        <v>0.58578000000000008</v>
      </c>
      <c r="J110" s="193" t="s">
        <v>109</v>
      </c>
      <c r="K110" s="65">
        <f>I110</f>
        <v>0.58578000000000008</v>
      </c>
    </row>
    <row r="111" spans="1:11" s="53" customFormat="1" x14ac:dyDescent="0.25">
      <c r="A111" s="60" t="str">
        <f>'PLANILHA ORÇAMENTÁRIA'!A93</f>
        <v>14.4.4</v>
      </c>
      <c r="B111" s="61" t="str">
        <f>'PLANILHA ORÇAMENTÁRIA'!D93</f>
        <v>Lançamento com uso de baldes, adensamento e acabamento de Concreto</v>
      </c>
      <c r="C111" s="193" t="str">
        <f>'PLANILHA ORÇAMENTÁRIA'!E93</f>
        <v>m³</v>
      </c>
      <c r="D111" s="193" t="s">
        <v>109</v>
      </c>
      <c r="E111" s="193">
        <v>22.53</v>
      </c>
      <c r="F111" s="193">
        <v>0.13</v>
      </c>
      <c r="G111" s="193">
        <v>0.2</v>
      </c>
      <c r="H111" s="193">
        <f>G111*F111</f>
        <v>2.6000000000000002E-2</v>
      </c>
      <c r="I111" s="193">
        <f>H111*E111</f>
        <v>0.58578000000000008</v>
      </c>
      <c r="J111" s="193" t="s">
        <v>109</v>
      </c>
      <c r="K111" s="65">
        <f>I111</f>
        <v>0.58578000000000008</v>
      </c>
    </row>
    <row r="112" spans="1:11" s="53" customFormat="1" ht="47.25" x14ac:dyDescent="0.25">
      <c r="A112" s="60" t="s">
        <v>399</v>
      </c>
      <c r="B112" s="61" t="str">
        <f>'PLANILHA ORÇAMENTÁRIA'!D94</f>
        <v>Armação de pilar ou viga de uma estrutura convencional de concreto armado em uma edificação térrea ou sobrado utilizando aço CA-60 de 5,0 mm - Montagem. AF_12/2015</v>
      </c>
      <c r="C112" s="228" t="s">
        <v>36</v>
      </c>
      <c r="D112" s="228" t="s">
        <v>109</v>
      </c>
      <c r="E112" s="228">
        <v>67.5</v>
      </c>
      <c r="F112" s="228" t="s">
        <v>109</v>
      </c>
      <c r="G112" s="228" t="s">
        <v>109</v>
      </c>
      <c r="H112" s="228" t="s">
        <v>109</v>
      </c>
      <c r="I112" s="228" t="s">
        <v>109</v>
      </c>
      <c r="J112" s="227">
        <v>0.154</v>
      </c>
      <c r="K112" s="65">
        <f>ROUND(J112*E112,2)</f>
        <v>10.4</v>
      </c>
    </row>
    <row r="113" spans="1:11" s="200" customFormat="1" x14ac:dyDescent="0.25">
      <c r="A113" s="198" t="str">
        <f>'PLANILHA ORÇAMENTÁRIA'!A95</f>
        <v>14.5</v>
      </c>
      <c r="B113" s="199" t="str">
        <f>'PLANILHA ORÇAMENTÁRIA'!D95</f>
        <v>Laje</v>
      </c>
      <c r="C113" s="72"/>
      <c r="D113" s="72"/>
      <c r="E113" s="72"/>
      <c r="F113" s="72"/>
      <c r="G113" s="72"/>
      <c r="H113" s="72"/>
      <c r="I113" s="72"/>
      <c r="J113" s="72"/>
      <c r="K113" s="65"/>
    </row>
    <row r="114" spans="1:11" s="53" customFormat="1" ht="31.5" x14ac:dyDescent="0.25">
      <c r="A114" s="60" t="str">
        <f>'PLANILHA ORÇAMENTÁRIA'!A96</f>
        <v>14.5.1</v>
      </c>
      <c r="B114" s="61" t="str">
        <f>'PLANILHA ORÇAMENTÁRIA'!D96</f>
        <v>Fôrma de chapa compensada resinada 12mm, levando-se em conta a utilização 3 vezes (incluido o material, corte, montagem, escoramento e desfôrma)</v>
      </c>
      <c r="C114" s="193" t="str">
        <f>'PLANILHA ORÇAMENTÁRIA'!E96</f>
        <v>m²</v>
      </c>
      <c r="D114" s="193" t="s">
        <v>109</v>
      </c>
      <c r="E114" s="193">
        <v>126.7</v>
      </c>
      <c r="F114" s="193">
        <v>0.1</v>
      </c>
      <c r="G114" s="193" t="s">
        <v>109</v>
      </c>
      <c r="H114" s="193">
        <f>F114*E114</f>
        <v>12.670000000000002</v>
      </c>
      <c r="I114" s="193" t="s">
        <v>109</v>
      </c>
      <c r="J114" s="193" t="s">
        <v>109</v>
      </c>
      <c r="K114" s="65">
        <f>H114</f>
        <v>12.670000000000002</v>
      </c>
    </row>
    <row r="115" spans="1:11" s="53" customFormat="1" ht="47.25" x14ac:dyDescent="0.25">
      <c r="A115" s="60" t="str">
        <f>'PLANILHA ORÇAMENTÁRIA'!A97</f>
        <v>14.5.2</v>
      </c>
      <c r="B115" s="61" t="str">
        <f>'PLANILHA ORÇAMENTÁRIA'!D97</f>
        <v>Armação de laje de uma estrutura convencional de concreto armado em um edifício de múltiplos pavimentos utilizando aço CA-50 de 8,0mm - Montagem. AF_12/2015</v>
      </c>
      <c r="C115" s="193" t="str">
        <f>'PLANILHA ORÇAMENTÁRIA'!E97</f>
        <v>kg</v>
      </c>
      <c r="D115" s="193" t="s">
        <v>109</v>
      </c>
      <c r="E115" s="193">
        <v>290.76</v>
      </c>
      <c r="F115" s="193" t="s">
        <v>109</v>
      </c>
      <c r="G115" s="193" t="s">
        <v>109</v>
      </c>
      <c r="H115" s="193" t="s">
        <v>109</v>
      </c>
      <c r="I115" s="193" t="s">
        <v>109</v>
      </c>
      <c r="J115" s="227">
        <v>0.39500000000000002</v>
      </c>
      <c r="K115" s="65">
        <f>ROUND(J115*E115,2)</f>
        <v>114.85</v>
      </c>
    </row>
    <row r="116" spans="1:11" s="53" customFormat="1" x14ac:dyDescent="0.25">
      <c r="A116" s="60" t="str">
        <f>'PLANILHA ORÇAMENTÁRIA'!A98</f>
        <v>14.5.3</v>
      </c>
      <c r="B116" s="61" t="str">
        <f>'PLANILHA ORÇAMENTÁRIA'!D98</f>
        <v>Concreto FCK = 25MPA, Traço 1:2,3:2,7 (Cimento/ Areia / Média / Brita 1)</v>
      </c>
      <c r="C116" s="193" t="str">
        <f>'PLANILHA ORÇAMENTÁRIA'!E98</f>
        <v>m³</v>
      </c>
      <c r="D116" s="193" t="s">
        <v>109</v>
      </c>
      <c r="E116" s="193" t="s">
        <v>109</v>
      </c>
      <c r="F116" s="193" t="s">
        <v>109</v>
      </c>
      <c r="G116" s="193">
        <v>0.03</v>
      </c>
      <c r="H116" s="193">
        <v>13.33</v>
      </c>
      <c r="I116" s="193" t="s">
        <v>109</v>
      </c>
      <c r="J116" s="193" t="s">
        <v>109</v>
      </c>
      <c r="K116" s="65">
        <f>H116*G116</f>
        <v>0.39989999999999998</v>
      </c>
    </row>
    <row r="117" spans="1:11" s="53" customFormat="1" x14ac:dyDescent="0.25">
      <c r="A117" s="60" t="str">
        <f>'PLANILHA ORÇAMENTÁRIA'!A99</f>
        <v>14.5.4</v>
      </c>
      <c r="B117" s="61" t="str">
        <f>'PLANILHA ORÇAMENTÁRIA'!D99</f>
        <v>Lançamento com uso de baldes, adensamento e acabamento de Concreto</v>
      </c>
      <c r="C117" s="193" t="str">
        <f>'PLANILHA ORÇAMENTÁRIA'!E99</f>
        <v>m³</v>
      </c>
      <c r="D117" s="193" t="s">
        <v>109</v>
      </c>
      <c r="E117" s="193" t="s">
        <v>109</v>
      </c>
      <c r="F117" s="193" t="s">
        <v>109</v>
      </c>
      <c r="G117" s="193">
        <v>0.03</v>
      </c>
      <c r="H117" s="193">
        <v>13.33</v>
      </c>
      <c r="I117" s="193" t="s">
        <v>109</v>
      </c>
      <c r="J117" s="193" t="s">
        <v>109</v>
      </c>
      <c r="K117" s="65">
        <f>H117*G117</f>
        <v>0.39989999999999998</v>
      </c>
    </row>
    <row r="118" spans="1:11" s="53" customFormat="1" x14ac:dyDescent="0.25">
      <c r="A118" s="198" t="str">
        <f>'PLANILHA ORÇAMENTÁRIA'!A100</f>
        <v>14.6</v>
      </c>
      <c r="B118" s="199" t="str">
        <f>'PLANILHA ORÇAMENTÁRIA'!D100</f>
        <v>Escada</v>
      </c>
      <c r="C118" s="72"/>
      <c r="D118" s="72"/>
      <c r="E118" s="72"/>
      <c r="F118" s="72"/>
      <c r="G118" s="72"/>
      <c r="H118" s="72"/>
      <c r="I118" s="72"/>
      <c r="J118" s="72"/>
      <c r="K118" s="65"/>
    </row>
    <row r="119" spans="1:11" s="53" customFormat="1" x14ac:dyDescent="0.25">
      <c r="A119" s="60" t="str">
        <f>'PLANILHA ORÇAMENTÁRIA'!A101</f>
        <v>14.6.1</v>
      </c>
      <c r="B119" s="61" t="str">
        <f>'PLANILHA ORÇAMENTÁRIA'!D101</f>
        <v>Escada em concreto armado, Fck = 15 MPa, MOLDADA IN LOCO</v>
      </c>
      <c r="C119" s="193" t="s">
        <v>121</v>
      </c>
      <c r="D119" s="193">
        <v>1</v>
      </c>
      <c r="E119" s="193">
        <v>1.3</v>
      </c>
      <c r="F119" s="193">
        <v>1</v>
      </c>
      <c r="G119" s="193">
        <v>0.1</v>
      </c>
      <c r="H119" s="193">
        <v>0.47</v>
      </c>
      <c r="I119" s="193">
        <f>H119*F119</f>
        <v>0.47</v>
      </c>
      <c r="J119" s="193" t="s">
        <v>109</v>
      </c>
      <c r="K119" s="65">
        <f>I119</f>
        <v>0.47</v>
      </c>
    </row>
    <row r="120" spans="1:11" s="53" customFormat="1" x14ac:dyDescent="0.25">
      <c r="A120" s="66" t="s">
        <v>356</v>
      </c>
      <c r="B120" s="56" t="s">
        <v>83</v>
      </c>
      <c r="C120" s="75"/>
      <c r="D120" s="75"/>
      <c r="E120" s="75"/>
      <c r="F120" s="75"/>
      <c r="G120" s="75"/>
      <c r="H120" s="76"/>
      <c r="I120" s="76"/>
      <c r="J120" s="76"/>
      <c r="K120" s="77"/>
    </row>
    <row r="121" spans="1:11" x14ac:dyDescent="0.25">
      <c r="A121" s="60" t="s">
        <v>219</v>
      </c>
      <c r="B121" s="89" t="str">
        <f>'PLANILHA ORÇAMENTÁRIA'!D103</f>
        <v>Limpeza final da obra</v>
      </c>
      <c r="C121" s="90" t="s">
        <v>13</v>
      </c>
      <c r="D121" s="90" t="s">
        <v>109</v>
      </c>
      <c r="E121" s="90" t="s">
        <v>109</v>
      </c>
      <c r="F121" s="90" t="s">
        <v>109</v>
      </c>
      <c r="G121" s="90" t="s">
        <v>109</v>
      </c>
      <c r="H121" s="90">
        <v>606.43499999999995</v>
      </c>
      <c r="I121" s="90" t="s">
        <v>109</v>
      </c>
      <c r="J121" s="90" t="s">
        <v>109</v>
      </c>
      <c r="K121" s="91">
        <f>H121</f>
        <v>606.43499999999995</v>
      </c>
    </row>
    <row r="122" spans="1:11" x14ac:dyDescent="0.25">
      <c r="A122" s="298" t="s">
        <v>172</v>
      </c>
      <c r="B122" s="299"/>
      <c r="C122" s="299"/>
      <c r="D122" s="299"/>
      <c r="E122" s="299"/>
      <c r="F122" s="299"/>
      <c r="G122" s="299"/>
      <c r="H122" s="299"/>
      <c r="I122" s="299"/>
      <c r="J122" s="299"/>
      <c r="K122" s="300"/>
    </row>
    <row r="123" spans="1:11" ht="31.5" x14ac:dyDescent="0.25">
      <c r="A123" s="60" t="s">
        <v>358</v>
      </c>
      <c r="B123" s="89" t="str">
        <f>'PLANILHA ORÇAMENTÁRIA'!D104</f>
        <v>Trave para futebol de salão de tubo de ferro galvanizado 3'', com recuo, removível, dimensoes oficiais 3x2m</v>
      </c>
      <c r="C123" s="90" t="s">
        <v>129</v>
      </c>
      <c r="D123" s="90">
        <v>2</v>
      </c>
      <c r="E123" s="90" t="s">
        <v>109</v>
      </c>
      <c r="F123" s="90" t="s">
        <v>109</v>
      </c>
      <c r="G123" s="90" t="s">
        <v>109</v>
      </c>
      <c r="H123" s="90" t="s">
        <v>109</v>
      </c>
      <c r="I123" s="90" t="s">
        <v>109</v>
      </c>
      <c r="J123" s="90" t="s">
        <v>109</v>
      </c>
      <c r="K123" s="91">
        <f>D123</f>
        <v>2</v>
      </c>
    </row>
    <row r="124" spans="1:11" ht="47.25" x14ac:dyDescent="0.25">
      <c r="A124" s="60" t="s">
        <v>359</v>
      </c>
      <c r="B124" s="89" t="str">
        <f>'PLANILHA ORÇAMENTÁRIA'!D105</f>
        <v>Conjunto de poste de voleibol de tubo de ferro galvanizado 3"e parte móvel de 21/2", inclusive carretilha, furo com tubo de ferro galvanizado de 31/2"e tampão de furo</v>
      </c>
      <c r="C124" s="90" t="s">
        <v>129</v>
      </c>
      <c r="D124" s="90">
        <v>1</v>
      </c>
      <c r="E124" s="90" t="s">
        <v>109</v>
      </c>
      <c r="F124" s="90" t="s">
        <v>109</v>
      </c>
      <c r="G124" s="90" t="s">
        <v>109</v>
      </c>
      <c r="H124" s="90" t="s">
        <v>109</v>
      </c>
      <c r="I124" s="90" t="s">
        <v>109</v>
      </c>
      <c r="J124" s="90" t="s">
        <v>109</v>
      </c>
      <c r="K124" s="91">
        <f>D124</f>
        <v>1</v>
      </c>
    </row>
    <row r="125" spans="1:11" ht="47.25" x14ac:dyDescent="0.25">
      <c r="A125" s="60" t="s">
        <v>360</v>
      </c>
      <c r="B125" s="89" t="str">
        <f>'PLANILHA ORÇAMENTÁRIA'!D106</f>
        <v>Alambrado para quadra poliesportiva, estruturado por tubos de aço galvanizado, com costura, Din 2440, Diâmetro 2'', com tela de arame galvanizado, fio 14 BWG e malha quadrada 5x5cm</v>
      </c>
      <c r="C125" s="90" t="s">
        <v>13</v>
      </c>
      <c r="D125" s="90" t="s">
        <v>109</v>
      </c>
      <c r="E125" s="90">
        <v>76.47</v>
      </c>
      <c r="F125" s="90" t="s">
        <v>109</v>
      </c>
      <c r="G125" s="90">
        <v>3</v>
      </c>
      <c r="H125" s="90">
        <f>G125*E125</f>
        <v>229.41</v>
      </c>
      <c r="I125" s="90" t="s">
        <v>109</v>
      </c>
      <c r="J125" s="90" t="s">
        <v>109</v>
      </c>
      <c r="K125" s="91">
        <f>H125</f>
        <v>229.41</v>
      </c>
    </row>
    <row r="126" spans="1:11" ht="31.5" x14ac:dyDescent="0.25">
      <c r="A126" s="60" t="s">
        <v>361</v>
      </c>
      <c r="B126" s="89" t="str">
        <f>'PLANILHA ORÇAMENTÁRIA'!D107</f>
        <v>Rede de proteção em nylon malha 10x10cm para proteção de quadra de esportes (atrás das traves)</v>
      </c>
      <c r="C126" s="90" t="s">
        <v>13</v>
      </c>
      <c r="D126" s="90">
        <v>2</v>
      </c>
      <c r="E126" s="90">
        <v>18.37</v>
      </c>
      <c r="F126" s="90" t="s">
        <v>109</v>
      </c>
      <c r="G126" s="90">
        <v>6</v>
      </c>
      <c r="H126" s="90">
        <f>E126*G126</f>
        <v>110.22</v>
      </c>
      <c r="I126" s="90"/>
      <c r="J126" s="90"/>
      <c r="K126" s="91">
        <f>H126*D126</f>
        <v>220.44</v>
      </c>
    </row>
    <row r="127" spans="1:11" x14ac:dyDescent="0.25">
      <c r="A127" s="301" t="s">
        <v>173</v>
      </c>
      <c r="B127" s="302"/>
      <c r="C127" s="302"/>
      <c r="D127" s="302"/>
      <c r="E127" s="302"/>
      <c r="F127" s="302"/>
      <c r="G127" s="302"/>
      <c r="H127" s="302"/>
      <c r="I127" s="302"/>
      <c r="J127" s="302"/>
      <c r="K127" s="303"/>
    </row>
    <row r="128" spans="1:11" x14ac:dyDescent="0.25">
      <c r="A128" s="60" t="s">
        <v>362</v>
      </c>
      <c r="B128" s="89" t="str">
        <f>'PLANILHA ORÇAMENTÁRIA'!D108</f>
        <v>Rede para futebol de salão</v>
      </c>
      <c r="C128" s="90" t="s">
        <v>129</v>
      </c>
      <c r="D128" s="90">
        <v>2</v>
      </c>
      <c r="E128" s="90" t="s">
        <v>109</v>
      </c>
      <c r="F128" s="90" t="s">
        <v>109</v>
      </c>
      <c r="G128" s="90" t="s">
        <v>109</v>
      </c>
      <c r="H128" s="90" t="s">
        <v>109</v>
      </c>
      <c r="I128" s="90" t="s">
        <v>109</v>
      </c>
      <c r="J128" s="90" t="s">
        <v>109</v>
      </c>
      <c r="K128" s="91">
        <f>D128</f>
        <v>2</v>
      </c>
    </row>
    <row r="129" spans="1:11" x14ac:dyDescent="0.25">
      <c r="A129" s="60" t="s">
        <v>363</v>
      </c>
      <c r="B129" s="89" t="str">
        <f>'PLANILHA ORÇAMENTÁRIA'!D109</f>
        <v>Rede para voleibol com malha grossa, faixas de lona superior e inferior</v>
      </c>
      <c r="C129" s="90" t="s">
        <v>129</v>
      </c>
      <c r="D129" s="90">
        <v>1</v>
      </c>
      <c r="E129" s="90" t="s">
        <v>109</v>
      </c>
      <c r="F129" s="90" t="s">
        <v>109</v>
      </c>
      <c r="G129" s="90" t="s">
        <v>109</v>
      </c>
      <c r="H129" s="90" t="s">
        <v>109</v>
      </c>
      <c r="I129" s="90" t="s">
        <v>109</v>
      </c>
      <c r="J129" s="90" t="s">
        <v>109</v>
      </c>
      <c r="K129" s="91">
        <f>D129</f>
        <v>1</v>
      </c>
    </row>
    <row r="130" spans="1:11" s="53" customFormat="1" ht="31.5" x14ac:dyDescent="0.25">
      <c r="A130" s="60" t="s">
        <v>364</v>
      </c>
      <c r="B130" s="89" t="str">
        <f>'PLANILHA ORÇAMENTÁRIA'!D110</f>
        <v>Banco de concreto armado aparente com apoios de alvenaria assentada com argamassa de cimento, cal e areia, largura de 0,50m e espessura de 0,05m</v>
      </c>
      <c r="C130" s="90" t="s">
        <v>32</v>
      </c>
      <c r="D130" s="90">
        <v>2</v>
      </c>
      <c r="E130" s="90">
        <v>4</v>
      </c>
      <c r="F130" s="90">
        <v>0.5</v>
      </c>
      <c r="G130" s="90">
        <v>0.45</v>
      </c>
      <c r="H130" s="90" t="s">
        <v>109</v>
      </c>
      <c r="I130" s="90" t="s">
        <v>109</v>
      </c>
      <c r="J130" s="90" t="s">
        <v>109</v>
      </c>
      <c r="K130" s="91">
        <f>E130*D130</f>
        <v>8</v>
      </c>
    </row>
    <row r="131" spans="1:11" s="217" customFormat="1" ht="15.75" customHeight="1" x14ac:dyDescent="0.25">
      <c r="A131" s="214" t="s">
        <v>365</v>
      </c>
      <c r="B131" s="215" t="str">
        <f>'PLANILHA ORÇAMENTÁRIA'!D111</f>
        <v>ADMINISTRAÇÃO LOCAL</v>
      </c>
      <c r="C131" s="215"/>
      <c r="D131" s="215"/>
      <c r="E131" s="215"/>
      <c r="F131" s="215"/>
      <c r="G131" s="215"/>
      <c r="H131" s="215"/>
      <c r="I131" s="215"/>
      <c r="J131" s="215"/>
      <c r="K131" s="216"/>
    </row>
    <row r="132" spans="1:11" x14ac:dyDescent="0.25">
      <c r="A132" s="68" t="s">
        <v>357</v>
      </c>
      <c r="B132" s="213" t="str">
        <f>'PLANILHA ORÇAMENTÁRIA'!D112</f>
        <v>Administrativo Local</v>
      </c>
      <c r="C132" s="218" t="s">
        <v>400</v>
      </c>
      <c r="D132" s="218">
        <v>1</v>
      </c>
      <c r="E132" s="218" t="s">
        <v>109</v>
      </c>
      <c r="F132" s="218" t="s">
        <v>109</v>
      </c>
      <c r="G132" s="218" t="s">
        <v>109</v>
      </c>
      <c r="H132" s="218" t="s">
        <v>109</v>
      </c>
      <c r="I132" s="218" t="s">
        <v>109</v>
      </c>
      <c r="J132" s="218" t="s">
        <v>109</v>
      </c>
      <c r="K132" s="222">
        <f>D132</f>
        <v>1</v>
      </c>
    </row>
    <row r="133" spans="1:11" ht="17.25" x14ac:dyDescent="0.25">
      <c r="B133" s="93"/>
      <c r="C133" s="93"/>
      <c r="D133" s="93"/>
      <c r="E133" s="93"/>
      <c r="F133" s="93"/>
      <c r="G133" s="93"/>
      <c r="H133" s="93"/>
      <c r="I133" s="93"/>
      <c r="J133" s="93"/>
      <c r="K133" s="95"/>
    </row>
    <row r="134" spans="1:11" ht="17.25" x14ac:dyDescent="0.25">
      <c r="B134" s="93"/>
      <c r="C134" s="93"/>
      <c r="D134" s="93"/>
      <c r="E134" s="93"/>
      <c r="F134" s="93"/>
      <c r="G134" s="93"/>
      <c r="H134" s="93"/>
      <c r="I134" s="93"/>
      <c r="J134" s="93"/>
      <c r="K134" s="95"/>
    </row>
    <row r="135" spans="1:11" x14ac:dyDescent="0.25">
      <c r="B135" s="93"/>
      <c r="K135" s="94"/>
    </row>
    <row r="136" spans="1:11" x14ac:dyDescent="0.25">
      <c r="B136" s="93"/>
      <c r="K136" s="94"/>
    </row>
    <row r="137" spans="1:11" x14ac:dyDescent="0.25">
      <c r="B137" s="93"/>
      <c r="K137" s="94"/>
    </row>
  </sheetData>
  <mergeCells count="32">
    <mergeCell ref="A76:K76"/>
    <mergeCell ref="A74:K74"/>
    <mergeCell ref="A75:K75"/>
    <mergeCell ref="A46:K46"/>
    <mergeCell ref="F16:I16"/>
    <mergeCell ref="F17:I17"/>
    <mergeCell ref="D29:G29"/>
    <mergeCell ref="I29:K29"/>
    <mergeCell ref="F50:J50"/>
    <mergeCell ref="F51:J51"/>
    <mergeCell ref="D68:G68"/>
    <mergeCell ref="D70:G70"/>
    <mergeCell ref="I68:K68"/>
    <mergeCell ref="I70:K70"/>
    <mergeCell ref="A26:K26"/>
    <mergeCell ref="A34:K34"/>
    <mergeCell ref="A35:K35"/>
    <mergeCell ref="F38:K38"/>
    <mergeCell ref="F39:K39"/>
    <mergeCell ref="F1:K3"/>
    <mergeCell ref="A1:E1"/>
    <mergeCell ref="A2:E2"/>
    <mergeCell ref="A3:E3"/>
    <mergeCell ref="A10:K10"/>
    <mergeCell ref="A122:K122"/>
    <mergeCell ref="A127:K127"/>
    <mergeCell ref="I81:K81"/>
    <mergeCell ref="I82:K82"/>
    <mergeCell ref="D81:G81"/>
    <mergeCell ref="D82:G82"/>
    <mergeCell ref="D85:G85"/>
    <mergeCell ref="I85:K85"/>
  </mergeCells>
  <pageMargins left="0.51181102362204722" right="0.51181102362204722" top="1.2598425196850394" bottom="1.194212962962963" header="0.31496062992125984" footer="0.31496062992125984"/>
  <pageSetup paperSize="9" scale="70" fitToHeight="6" orientation="landscape" r:id="rId1"/>
  <headerFooter>
    <oddHeader>&amp;C&amp;G</oddHeader>
    <oddFooter>&amp;C&amp;"-,Itálico"Rua Elias Estevão Colnago, nº 65 – Centro - Itarana/ES
 CEP 29620-000    Tel.: (27) 3720-4900&amp;R____________________________
&amp;"-,Negrito"Igor Alves Folador Dominicini
&amp;"-,Itálico"&amp;10Engenheiro CIvil - CREA ES-043213/D</oddFooter>
  </headerFooter>
  <rowBreaks count="2" manualBreakCount="2">
    <brk id="95" max="10" man="1"/>
    <brk id="123" max="10"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view="pageBreakPreview" zoomScaleNormal="100" zoomScaleSheetLayoutView="100" zoomScalePageLayoutView="80" workbookViewId="0">
      <selection activeCell="E20" sqref="E20"/>
    </sheetView>
  </sheetViews>
  <sheetFormatPr defaultRowHeight="17.25" x14ac:dyDescent="0.3"/>
  <cols>
    <col min="1" max="1" width="9.42578125" style="97" bestFit="1" customWidth="1"/>
    <col min="2" max="2" width="44.85546875" style="97" bestFit="1" customWidth="1"/>
    <col min="3" max="3" width="12.7109375" style="97" bestFit="1" customWidth="1"/>
    <col min="4" max="4" width="12.140625" style="97" customWidth="1"/>
    <col min="5" max="5" width="11.42578125" style="97" bestFit="1" customWidth="1"/>
    <col min="6" max="12" width="12.7109375" style="97" bestFit="1" customWidth="1"/>
    <col min="13" max="13" width="12.140625" style="97" bestFit="1" customWidth="1"/>
    <col min="14" max="16384" width="9.140625" style="97"/>
  </cols>
  <sheetData>
    <row r="1" spans="1:13" x14ac:dyDescent="0.3">
      <c r="A1" s="290" t="s">
        <v>97</v>
      </c>
      <c r="B1" s="290"/>
      <c r="C1" s="290"/>
      <c r="D1" s="290"/>
      <c r="E1" s="320" t="s">
        <v>135</v>
      </c>
      <c r="F1" s="321"/>
      <c r="G1" s="321"/>
      <c r="H1" s="321"/>
      <c r="I1" s="321"/>
      <c r="J1" s="321"/>
      <c r="K1" s="322"/>
    </row>
    <row r="2" spans="1:13" x14ac:dyDescent="0.3">
      <c r="A2" s="290" t="s">
        <v>98</v>
      </c>
      <c r="B2" s="290"/>
      <c r="C2" s="290"/>
      <c r="D2" s="290"/>
      <c r="E2" s="323"/>
      <c r="F2" s="324"/>
      <c r="G2" s="324"/>
      <c r="H2" s="324"/>
      <c r="I2" s="324"/>
      <c r="J2" s="324"/>
      <c r="K2" s="325"/>
    </row>
    <row r="3" spans="1:13" x14ac:dyDescent="0.3">
      <c r="A3" s="290" t="s">
        <v>100</v>
      </c>
      <c r="B3" s="290"/>
      <c r="C3" s="290"/>
      <c r="D3" s="290"/>
      <c r="E3" s="326"/>
      <c r="F3" s="269"/>
      <c r="G3" s="269"/>
      <c r="H3" s="269"/>
      <c r="I3" s="269"/>
      <c r="J3" s="269"/>
      <c r="K3" s="270"/>
    </row>
    <row r="4" spans="1:13" x14ac:dyDescent="0.3">
      <c r="A4" s="28"/>
      <c r="B4" s="28"/>
      <c r="C4" s="28"/>
      <c r="D4" s="8"/>
      <c r="E4" s="327"/>
      <c r="F4" s="327"/>
      <c r="G4" s="327"/>
      <c r="H4" s="327"/>
      <c r="I4" s="327"/>
      <c r="J4" s="327"/>
      <c r="K4" s="327"/>
    </row>
    <row r="5" spans="1:13" x14ac:dyDescent="0.3">
      <c r="A5" s="98" t="s">
        <v>4</v>
      </c>
      <c r="B5" s="98" t="s">
        <v>101</v>
      </c>
      <c r="C5" s="98" t="s">
        <v>102</v>
      </c>
      <c r="D5" s="99" t="s">
        <v>103</v>
      </c>
      <c r="E5" s="98">
        <v>1</v>
      </c>
      <c r="F5" s="98">
        <v>2</v>
      </c>
      <c r="G5" s="98">
        <v>3</v>
      </c>
      <c r="H5" s="98">
        <v>4</v>
      </c>
      <c r="I5" s="98">
        <v>5</v>
      </c>
      <c r="J5" s="98">
        <v>6</v>
      </c>
      <c r="K5" s="98">
        <v>7</v>
      </c>
    </row>
    <row r="6" spans="1:13" x14ac:dyDescent="0.3">
      <c r="A6" s="100">
        <v>1</v>
      </c>
      <c r="B6" s="101" t="s">
        <v>9</v>
      </c>
      <c r="C6" s="102">
        <f>'PLANILHA ORÇAMENTÁRIA'!I8</f>
        <v>14679.014515999999</v>
      </c>
      <c r="D6" s="103">
        <f t="shared" ref="D6:D21" si="0">C6/$C$22</f>
        <v>3.3970065688403613E-2</v>
      </c>
      <c r="E6" s="104">
        <f>C6*1</f>
        <v>14679.014515999999</v>
      </c>
      <c r="F6" s="105" t="s">
        <v>109</v>
      </c>
      <c r="G6" s="105" t="s">
        <v>109</v>
      </c>
      <c r="H6" s="105" t="s">
        <v>109</v>
      </c>
      <c r="I6" s="105" t="s">
        <v>109</v>
      </c>
      <c r="J6" s="105" t="s">
        <v>109</v>
      </c>
      <c r="K6" s="105" t="s">
        <v>109</v>
      </c>
      <c r="L6" s="106">
        <f>SUM(E6:K6)</f>
        <v>14679.014515999999</v>
      </c>
      <c r="M6" s="106">
        <f>L6-C6</f>
        <v>0</v>
      </c>
    </row>
    <row r="7" spans="1:13" x14ac:dyDescent="0.3">
      <c r="A7" s="100">
        <v>2</v>
      </c>
      <c r="B7" s="101" t="s">
        <v>26</v>
      </c>
      <c r="C7" s="102">
        <f>'PLANILHA ORÇAMENTÁRIA'!I14</f>
        <v>7602.4375124400003</v>
      </c>
      <c r="D7" s="103">
        <f t="shared" si="0"/>
        <v>1.7593504074001325E-2</v>
      </c>
      <c r="E7" s="104">
        <f>C7*1</f>
        <v>7602.4375124400003</v>
      </c>
      <c r="F7" s="105" t="s">
        <v>109</v>
      </c>
      <c r="G7" s="105" t="s">
        <v>109</v>
      </c>
      <c r="H7" s="105" t="s">
        <v>109</v>
      </c>
      <c r="I7" s="105" t="s">
        <v>109</v>
      </c>
      <c r="J7" s="105" t="s">
        <v>109</v>
      </c>
      <c r="K7" s="105" t="s">
        <v>109</v>
      </c>
      <c r="L7" s="106">
        <f t="shared" ref="L7:L20" si="1">SUM(E7:K7)</f>
        <v>7602.4375124400003</v>
      </c>
      <c r="M7" s="106">
        <f t="shared" ref="M7:M21" si="2">L7-C7</f>
        <v>0</v>
      </c>
    </row>
    <row r="8" spans="1:13" x14ac:dyDescent="0.3">
      <c r="A8" s="100">
        <v>3</v>
      </c>
      <c r="B8" s="101" t="s">
        <v>29</v>
      </c>
      <c r="C8" s="102">
        <f>'PLANILHA ORÇAMENTÁRIA'!I16</f>
        <v>14323.486164399999</v>
      </c>
      <c r="D8" s="103">
        <f t="shared" si="0"/>
        <v>3.3147304634194033E-2</v>
      </c>
      <c r="E8" s="220">
        <f>C8</f>
        <v>14323.486164399999</v>
      </c>
      <c r="F8" s="105" t="s">
        <v>109</v>
      </c>
      <c r="G8" s="105" t="s">
        <v>109</v>
      </c>
      <c r="H8" s="105" t="s">
        <v>109</v>
      </c>
      <c r="I8" s="105" t="s">
        <v>109</v>
      </c>
      <c r="J8" s="105" t="s">
        <v>109</v>
      </c>
      <c r="K8" s="105" t="s">
        <v>109</v>
      </c>
      <c r="L8" s="106">
        <f t="shared" si="1"/>
        <v>14323.486164399999</v>
      </c>
      <c r="M8" s="106">
        <f t="shared" si="2"/>
        <v>0</v>
      </c>
    </row>
    <row r="9" spans="1:13" x14ac:dyDescent="0.3">
      <c r="A9" s="100">
        <v>4</v>
      </c>
      <c r="B9" s="101" t="s">
        <v>33</v>
      </c>
      <c r="C9" s="102">
        <f>'PLANILHA ORÇAMENTÁRIA'!I24</f>
        <v>160505.22280000005</v>
      </c>
      <c r="D9" s="103">
        <f t="shared" si="0"/>
        <v>0.37143998705804254</v>
      </c>
      <c r="E9" s="105" t="s">
        <v>109</v>
      </c>
      <c r="F9" s="105" t="s">
        <v>109</v>
      </c>
      <c r="G9" s="220">
        <f>C9</f>
        <v>160505.22280000005</v>
      </c>
      <c r="H9" s="105" t="s">
        <v>109</v>
      </c>
      <c r="I9" s="105" t="s">
        <v>109</v>
      </c>
      <c r="J9" s="105" t="s">
        <v>109</v>
      </c>
      <c r="K9" s="105" t="s">
        <v>109</v>
      </c>
      <c r="L9" s="106">
        <f>SUM(E9:K9)</f>
        <v>160505.22280000005</v>
      </c>
      <c r="M9" s="106">
        <f t="shared" si="2"/>
        <v>0</v>
      </c>
    </row>
    <row r="10" spans="1:13" x14ac:dyDescent="0.3">
      <c r="A10" s="100">
        <v>5</v>
      </c>
      <c r="B10" s="101" t="s">
        <v>37</v>
      </c>
      <c r="C10" s="102">
        <f>'PLANILHA ORÇAMENTÁRIA'!I26</f>
        <v>540.56891699999983</v>
      </c>
      <c r="D10" s="103">
        <f t="shared" si="0"/>
        <v>1.2509805477461382E-3</v>
      </c>
      <c r="E10" s="105" t="s">
        <v>109</v>
      </c>
      <c r="F10" s="105" t="s">
        <v>109</v>
      </c>
      <c r="G10" s="105" t="s">
        <v>109</v>
      </c>
      <c r="H10" s="105" t="s">
        <v>109</v>
      </c>
      <c r="I10" s="105" t="s">
        <v>109</v>
      </c>
      <c r="J10" s="220">
        <f>C10</f>
        <v>540.56891699999983</v>
      </c>
      <c r="K10" s="105" t="s">
        <v>109</v>
      </c>
      <c r="L10" s="106">
        <f t="shared" si="1"/>
        <v>540.56891699999983</v>
      </c>
      <c r="M10" s="106">
        <f t="shared" si="2"/>
        <v>0</v>
      </c>
    </row>
    <row r="11" spans="1:13" x14ac:dyDescent="0.3">
      <c r="A11" s="100">
        <v>6</v>
      </c>
      <c r="B11" s="101" t="s">
        <v>40</v>
      </c>
      <c r="C11" s="102">
        <f>'PLANILHA ORÇAMENTÁRIA'!I28</f>
        <v>4720.6787999999997</v>
      </c>
      <c r="D11" s="103">
        <f t="shared" si="0"/>
        <v>1.0924559598674787E-2</v>
      </c>
      <c r="E11" s="105" t="s">
        <v>109</v>
      </c>
      <c r="F11" s="105" t="s">
        <v>109</v>
      </c>
      <c r="G11" s="105" t="s">
        <v>109</v>
      </c>
      <c r="H11" s="105" t="s">
        <v>109</v>
      </c>
      <c r="I11" s="105" t="s">
        <v>109</v>
      </c>
      <c r="J11" s="220">
        <f>'CRONOGRAMA FÍSICO-FINANCEIRO'!C11</f>
        <v>4720.6787999999997</v>
      </c>
      <c r="K11" s="105" t="s">
        <v>109</v>
      </c>
      <c r="L11" s="106">
        <f t="shared" si="1"/>
        <v>4720.6787999999997</v>
      </c>
      <c r="M11" s="106">
        <f t="shared" si="2"/>
        <v>0</v>
      </c>
    </row>
    <row r="12" spans="1:13" x14ac:dyDescent="0.3">
      <c r="A12" s="100">
        <v>7</v>
      </c>
      <c r="B12" s="101" t="s">
        <v>43</v>
      </c>
      <c r="C12" s="102">
        <f>'PLANILHA ORÇAMENTÁRIA'!I30</f>
        <v>31790.891112338104</v>
      </c>
      <c r="D12" s="103">
        <f t="shared" si="0"/>
        <v>7.3570242620980317E-2</v>
      </c>
      <c r="E12" s="105" t="s">
        <v>109</v>
      </c>
      <c r="F12" s="105" t="s">
        <v>109</v>
      </c>
      <c r="G12" s="105" t="s">
        <v>109</v>
      </c>
      <c r="H12" s="220">
        <f>C12</f>
        <v>31790.891112338104</v>
      </c>
      <c r="I12" s="105" t="s">
        <v>109</v>
      </c>
      <c r="J12" s="105" t="s">
        <v>109</v>
      </c>
      <c r="K12" s="105" t="s">
        <v>109</v>
      </c>
      <c r="L12" s="106">
        <f t="shared" si="1"/>
        <v>31790.891112338104</v>
      </c>
      <c r="M12" s="106">
        <f t="shared" si="2"/>
        <v>0</v>
      </c>
    </row>
    <row r="13" spans="1:13" x14ac:dyDescent="0.3">
      <c r="A13" s="100">
        <v>8</v>
      </c>
      <c r="B13" s="101" t="s">
        <v>45</v>
      </c>
      <c r="C13" s="102">
        <f>'PLANILHA ORÇAMENTÁRIA'!I34</f>
        <v>6144.0990000000002</v>
      </c>
      <c r="D13" s="103">
        <f t="shared" si="0"/>
        <v>1.4218627987495817E-2</v>
      </c>
      <c r="E13" s="105" t="s">
        <v>109</v>
      </c>
      <c r="F13" s="105" t="s">
        <v>109</v>
      </c>
      <c r="G13" s="105" t="s">
        <v>109</v>
      </c>
      <c r="H13" s="105" t="s">
        <v>109</v>
      </c>
      <c r="I13" s="220">
        <f>'PLANILHA ORÇAMENTÁRIA'!I34</f>
        <v>6144.0990000000002</v>
      </c>
      <c r="J13" s="105" t="s">
        <v>109</v>
      </c>
      <c r="K13" s="105" t="s">
        <v>109</v>
      </c>
      <c r="L13" s="106">
        <f t="shared" si="1"/>
        <v>6144.0990000000002</v>
      </c>
      <c r="M13" s="106">
        <f t="shared" si="2"/>
        <v>0</v>
      </c>
    </row>
    <row r="14" spans="1:13" x14ac:dyDescent="0.3">
      <c r="A14" s="100">
        <v>9</v>
      </c>
      <c r="B14" s="101" t="s">
        <v>57</v>
      </c>
      <c r="C14" s="102">
        <f>'PLANILHA ORÇAMENTÁRIA'!I40</f>
        <v>8128.4987999999994</v>
      </c>
      <c r="D14" s="103">
        <f t="shared" si="0"/>
        <v>1.8810911174121078E-2</v>
      </c>
      <c r="E14" s="105" t="s">
        <v>109</v>
      </c>
      <c r="F14" s="105" t="s">
        <v>109</v>
      </c>
      <c r="G14" s="105" t="s">
        <v>109</v>
      </c>
      <c r="H14" s="220">
        <f>C14</f>
        <v>8128.4987999999994</v>
      </c>
      <c r="I14" s="105" t="s">
        <v>109</v>
      </c>
      <c r="J14" s="105" t="s">
        <v>109</v>
      </c>
      <c r="K14" s="105" t="s">
        <v>109</v>
      </c>
      <c r="L14" s="106">
        <f t="shared" si="1"/>
        <v>8128.4987999999994</v>
      </c>
      <c r="M14" s="106">
        <f t="shared" si="2"/>
        <v>0</v>
      </c>
    </row>
    <row r="15" spans="1:13" x14ac:dyDescent="0.3">
      <c r="A15" s="100">
        <v>10</v>
      </c>
      <c r="B15" s="101" t="s">
        <v>61</v>
      </c>
      <c r="C15" s="102">
        <f>'PLANILHA ORÇAMENTÁRIA'!I43</f>
        <v>14172.971750000001</v>
      </c>
      <c r="D15" s="103">
        <f t="shared" si="0"/>
        <v>3.2798985301268346E-2</v>
      </c>
      <c r="E15" s="105" t="s">
        <v>109</v>
      </c>
      <c r="F15" s="105" t="s">
        <v>109</v>
      </c>
      <c r="G15" s="105" t="s">
        <v>109</v>
      </c>
      <c r="H15" s="105" t="s">
        <v>109</v>
      </c>
      <c r="I15" s="220">
        <f>SUM('PLANILHA ORÇAMENTÁRIA'!I47:I56)+256.13</f>
        <v>13794.080449999999</v>
      </c>
      <c r="J15" s="105" t="s">
        <v>109</v>
      </c>
      <c r="K15" s="220">
        <f>'PLANILHA ORÇAMENTÁRIA'!I45</f>
        <v>378.89510000000001</v>
      </c>
      <c r="L15" s="106">
        <f t="shared" si="1"/>
        <v>14172.975549999999</v>
      </c>
      <c r="M15" s="106">
        <f t="shared" si="2"/>
        <v>3.7999999985913746E-3</v>
      </c>
    </row>
    <row r="16" spans="1:13" x14ac:dyDescent="0.3">
      <c r="A16" s="100">
        <v>11</v>
      </c>
      <c r="B16" s="101" t="s">
        <v>67</v>
      </c>
      <c r="C16" s="102">
        <f>'PLANILHA ORÇAMENTÁRIA'!I57</f>
        <v>436.67126999999994</v>
      </c>
      <c r="D16" s="103">
        <f t="shared" si="0"/>
        <v>1.0105413895442343E-3</v>
      </c>
      <c r="E16" s="105" t="s">
        <v>109</v>
      </c>
      <c r="F16" s="105" t="s">
        <v>109</v>
      </c>
      <c r="G16" s="105" t="s">
        <v>109</v>
      </c>
      <c r="H16" s="105" t="s">
        <v>109</v>
      </c>
      <c r="I16" s="105" t="s">
        <v>109</v>
      </c>
      <c r="J16" s="220">
        <f>C16</f>
        <v>436.67126999999994</v>
      </c>
      <c r="K16" s="105" t="s">
        <v>109</v>
      </c>
      <c r="L16" s="106">
        <f t="shared" si="1"/>
        <v>436.67126999999994</v>
      </c>
      <c r="M16" s="106">
        <f t="shared" si="2"/>
        <v>0</v>
      </c>
    </row>
    <row r="17" spans="1:13" x14ac:dyDescent="0.3">
      <c r="A17" s="100">
        <v>12</v>
      </c>
      <c r="B17" s="101" t="s">
        <v>73</v>
      </c>
      <c r="C17" s="102">
        <f>'PLANILHA ORÇAMENTÁRIA'!I60</f>
        <v>107578.21286306826</v>
      </c>
      <c r="D17" s="103">
        <f t="shared" si="0"/>
        <v>0.24895669621527985</v>
      </c>
      <c r="E17" s="105" t="s">
        <v>109</v>
      </c>
      <c r="F17" s="220">
        <f>C17</f>
        <v>107578.21286306826</v>
      </c>
      <c r="G17" s="105" t="s">
        <v>109</v>
      </c>
      <c r="H17" s="105" t="s">
        <v>109</v>
      </c>
      <c r="I17" s="105" t="s">
        <v>109</v>
      </c>
      <c r="J17" s="105" t="s">
        <v>109</v>
      </c>
      <c r="K17" s="105" t="s">
        <v>109</v>
      </c>
      <c r="L17" s="106">
        <f t="shared" si="1"/>
        <v>107578.21286306826</v>
      </c>
      <c r="M17" s="106">
        <f t="shared" si="2"/>
        <v>0</v>
      </c>
    </row>
    <row r="18" spans="1:13" x14ac:dyDescent="0.3">
      <c r="A18" s="100">
        <v>13</v>
      </c>
      <c r="B18" s="101" t="s">
        <v>78</v>
      </c>
      <c r="C18" s="102">
        <f>'PLANILHA ORÇAMENTÁRIA'!I67</f>
        <v>3516.1415044999994</v>
      </c>
      <c r="D18" s="103">
        <f t="shared" si="0"/>
        <v>8.1370283916127224E-3</v>
      </c>
      <c r="E18" s="105" t="s">
        <v>109</v>
      </c>
      <c r="F18" s="105" t="s">
        <v>109</v>
      </c>
      <c r="G18" s="105" t="s">
        <v>109</v>
      </c>
      <c r="H18" s="105" t="s">
        <v>109</v>
      </c>
      <c r="I18" s="105" t="s">
        <v>109</v>
      </c>
      <c r="J18" s="105" t="s">
        <v>109</v>
      </c>
      <c r="K18" s="220">
        <f>C18</f>
        <v>3516.1415044999994</v>
      </c>
      <c r="L18" s="106">
        <f t="shared" si="1"/>
        <v>3516.1415044999994</v>
      </c>
      <c r="M18" s="106">
        <f t="shared" si="2"/>
        <v>0</v>
      </c>
    </row>
    <row r="19" spans="1:13" x14ac:dyDescent="0.3">
      <c r="A19" s="100">
        <v>14</v>
      </c>
      <c r="B19" s="101" t="str">
        <f>'PLANILHA ORÇAMENTÁRIA'!D70</f>
        <v>ESCADA/RAMPA/PATAMAR</v>
      </c>
      <c r="C19" s="102">
        <f>'PLANILHA ORÇAMENTÁRIA'!I70</f>
        <v>9017.7805915379977</v>
      </c>
      <c r="D19" s="103">
        <f t="shared" si="0"/>
        <v>2.08688804499958E-2</v>
      </c>
      <c r="E19" s="220">
        <f>SUM('PLANILHA ORÇAMENTÁRIA'!I72:I82)</f>
        <v>2967.9969434230002</v>
      </c>
      <c r="F19" s="105" t="s">
        <v>109</v>
      </c>
      <c r="G19" s="105" t="s">
        <v>109</v>
      </c>
      <c r="H19" s="105" t="s">
        <v>109</v>
      </c>
      <c r="I19" s="105" t="s">
        <v>109</v>
      </c>
      <c r="J19" s="220">
        <f>SUM('PLANILHA ORÇAMENTÁRIA'!I84:I101)</f>
        <v>6049.7836481149998</v>
      </c>
      <c r="K19" s="105" t="s">
        <v>109</v>
      </c>
      <c r="L19" s="106">
        <f t="shared" si="1"/>
        <v>9017.7805915379995</v>
      </c>
      <c r="M19" s="106">
        <f t="shared" si="2"/>
        <v>0</v>
      </c>
    </row>
    <row r="20" spans="1:13" x14ac:dyDescent="0.3">
      <c r="A20" s="100">
        <v>15</v>
      </c>
      <c r="B20" s="101" t="s">
        <v>83</v>
      </c>
      <c r="C20" s="102">
        <f>'PLANILHA ORÇAMENTÁRIA'!I102</f>
        <v>41486.957573249994</v>
      </c>
      <c r="D20" s="103">
        <f t="shared" si="0"/>
        <v>9.6008807160669757E-2</v>
      </c>
      <c r="E20" s="105" t="s">
        <v>109</v>
      </c>
      <c r="F20" s="105" t="s">
        <v>109</v>
      </c>
      <c r="G20" s="105" t="s">
        <v>109</v>
      </c>
      <c r="H20" s="105" t="s">
        <v>109</v>
      </c>
      <c r="I20" s="105" t="s">
        <v>109</v>
      </c>
      <c r="J20" s="340">
        <f>SUM('PLANILHA ORÇAMENTÁRIA'!I110,'PLANILHA ORÇAMENTÁRIA'!I106)</f>
        <v>32700.199943500003</v>
      </c>
      <c r="K20" s="220">
        <f>SUM('PLANILHA ORÇAMENTÁRIA'!I103,'PLANILHA ORÇAMENTÁRIA'!I104,'PLANILHA ORÇAMENTÁRIA'!I105,'PLANILHA ORÇAMENTÁRIA'!I107,'PLANILHA ORÇAMENTÁRIA'!I108,'PLANILHA ORÇAMENTÁRIA'!I109)</f>
        <v>8786.75762975</v>
      </c>
      <c r="L20" s="106">
        <f t="shared" si="1"/>
        <v>41486.957573250002</v>
      </c>
      <c r="M20" s="106">
        <f t="shared" si="2"/>
        <v>0</v>
      </c>
    </row>
    <row r="21" spans="1:13" x14ac:dyDescent="0.3">
      <c r="A21" s="100">
        <v>16</v>
      </c>
      <c r="B21" s="101" t="s">
        <v>218</v>
      </c>
      <c r="C21" s="102">
        <f>'PLANILHA ORÇAMENTÁRIA'!I111</f>
        <v>7472.5319999999992</v>
      </c>
      <c r="D21" s="103">
        <f t="shared" si="0"/>
        <v>1.729287770796956E-2</v>
      </c>
      <c r="E21" s="220">
        <f>$C$21/7</f>
        <v>1067.5045714285714</v>
      </c>
      <c r="F21" s="220">
        <f t="shared" ref="F21:K21" si="3">$C$21/7</f>
        <v>1067.5045714285714</v>
      </c>
      <c r="G21" s="220">
        <f t="shared" si="3"/>
        <v>1067.5045714285714</v>
      </c>
      <c r="H21" s="220">
        <f t="shared" si="3"/>
        <v>1067.5045714285714</v>
      </c>
      <c r="I21" s="220">
        <f t="shared" si="3"/>
        <v>1067.5045714285714</v>
      </c>
      <c r="J21" s="220">
        <f t="shared" si="3"/>
        <v>1067.5045714285714</v>
      </c>
      <c r="K21" s="220">
        <f t="shared" si="3"/>
        <v>1067.5045714285714</v>
      </c>
      <c r="L21" s="106">
        <f>SUM(E21:K21)</f>
        <v>7472.5320000000002</v>
      </c>
      <c r="M21" s="106">
        <f t="shared" si="2"/>
        <v>0</v>
      </c>
    </row>
    <row r="22" spans="1:13" x14ac:dyDescent="0.3">
      <c r="A22" s="328" t="s">
        <v>104</v>
      </c>
      <c r="B22" s="328"/>
      <c r="C22" s="107">
        <f>SUM(C6:C21)</f>
        <v>432116.16517453443</v>
      </c>
      <c r="D22" s="103">
        <f>SUM(D6:D21)</f>
        <v>0.99999999999999989</v>
      </c>
      <c r="E22" s="108"/>
      <c r="F22" s="108"/>
      <c r="G22" s="108"/>
      <c r="H22" s="108"/>
      <c r="I22" s="108"/>
      <c r="J22" s="108"/>
      <c r="K22" s="108"/>
    </row>
    <row r="23" spans="1:13" x14ac:dyDescent="0.3">
      <c r="A23" s="328" t="s">
        <v>105</v>
      </c>
      <c r="B23" s="328"/>
      <c r="C23" s="328"/>
      <c r="D23" s="328"/>
      <c r="E23" s="109">
        <f>SUM(E6:E21)</f>
        <v>40640.43970769157</v>
      </c>
      <c r="F23" s="109">
        <f t="shared" ref="F23:K23" si="4">SUM(F6:F21)</f>
        <v>108645.71743449682</v>
      </c>
      <c r="G23" s="109">
        <f t="shared" si="4"/>
        <v>161572.72737142863</v>
      </c>
      <c r="H23" s="109">
        <f t="shared" si="4"/>
        <v>40986.894483766679</v>
      </c>
      <c r="I23" s="109">
        <f t="shared" si="4"/>
        <v>21005.684021428569</v>
      </c>
      <c r="J23" s="109">
        <f t="shared" si="4"/>
        <v>45515.407150043575</v>
      </c>
      <c r="K23" s="109">
        <f t="shared" si="4"/>
        <v>13749.298805678571</v>
      </c>
    </row>
    <row r="24" spans="1:13" x14ac:dyDescent="0.3">
      <c r="A24" s="328" t="s">
        <v>106</v>
      </c>
      <c r="B24" s="328"/>
      <c r="C24" s="328"/>
      <c r="D24" s="328"/>
      <c r="E24" s="109">
        <f>E23</f>
        <v>40640.43970769157</v>
      </c>
      <c r="F24" s="109">
        <f>E24+F23</f>
        <v>149286.1571421884</v>
      </c>
      <c r="G24" s="109">
        <f t="shared" ref="G24:J24" si="5">F24+G23</f>
        <v>310858.88451361703</v>
      </c>
      <c r="H24" s="109">
        <f t="shared" si="5"/>
        <v>351845.77899738372</v>
      </c>
      <c r="I24" s="109">
        <f t="shared" si="5"/>
        <v>372851.4630188123</v>
      </c>
      <c r="J24" s="109">
        <f t="shared" si="5"/>
        <v>418366.87016885588</v>
      </c>
      <c r="K24" s="109">
        <f>J24+K23</f>
        <v>432116.16897453443</v>
      </c>
    </row>
    <row r="25" spans="1:13" x14ac:dyDescent="0.3">
      <c r="A25" s="328" t="s">
        <v>107</v>
      </c>
      <c r="B25" s="328"/>
      <c r="C25" s="328"/>
      <c r="D25" s="328"/>
      <c r="E25" s="110">
        <f>E23/$C$22</f>
        <v>9.4049801842698108E-2</v>
      </c>
      <c r="F25" s="110">
        <f>F23/$C$22</f>
        <v>0.25142710731641832</v>
      </c>
      <c r="G25" s="110">
        <f>G23/$C$22</f>
        <v>0.37391039815918109</v>
      </c>
      <c r="H25" s="110">
        <f t="shared" ref="H25:J25" si="6">H23/$C$22</f>
        <v>9.4851564896239915E-2</v>
      </c>
      <c r="I25" s="110">
        <f t="shared" si="6"/>
        <v>4.8611196975110252E-2</v>
      </c>
      <c r="J25" s="110">
        <f t="shared" si="6"/>
        <v>0.10533141506441819</v>
      </c>
      <c r="K25" s="110">
        <f>K23/$C$22</f>
        <v>3.1818524539865667E-2</v>
      </c>
    </row>
    <row r="26" spans="1:13" x14ac:dyDescent="0.3">
      <c r="A26" s="328" t="s">
        <v>108</v>
      </c>
      <c r="B26" s="328"/>
      <c r="C26" s="328"/>
      <c r="D26" s="328"/>
      <c r="E26" s="111">
        <f>E25</f>
        <v>9.4049801842698108E-2</v>
      </c>
      <c r="F26" s="111">
        <f>E26+F25</f>
        <v>0.34547690915911644</v>
      </c>
      <c r="G26" s="111">
        <f t="shared" ref="G26:J26" si="7">F26+G25</f>
        <v>0.71938730731829748</v>
      </c>
      <c r="H26" s="111">
        <f t="shared" si="7"/>
        <v>0.81423887221453739</v>
      </c>
      <c r="I26" s="111">
        <f t="shared" si="7"/>
        <v>0.86285006918964768</v>
      </c>
      <c r="J26" s="111">
        <f t="shared" si="7"/>
        <v>0.96818148425406592</v>
      </c>
      <c r="K26" s="111">
        <f>J26+K25</f>
        <v>1.0000000087939316</v>
      </c>
    </row>
    <row r="27" spans="1:13" x14ac:dyDescent="0.3">
      <c r="A27" s="112"/>
      <c r="B27" s="112"/>
      <c r="C27" s="112"/>
      <c r="D27" s="112"/>
      <c r="E27" s="112"/>
      <c r="F27" s="112"/>
      <c r="G27" s="112"/>
      <c r="H27" s="112"/>
      <c r="I27" s="112"/>
      <c r="J27" s="112"/>
      <c r="K27" s="112"/>
    </row>
    <row r="28" spans="1:13" x14ac:dyDescent="0.3">
      <c r="A28" s="112"/>
      <c r="B28" s="112"/>
      <c r="C28" s="112"/>
      <c r="D28" s="112"/>
      <c r="E28" s="112"/>
      <c r="F28" s="112"/>
      <c r="G28" s="112"/>
      <c r="H28" s="112"/>
      <c r="I28" s="112"/>
      <c r="J28" s="112"/>
      <c r="K28" s="112"/>
    </row>
    <row r="29" spans="1:13" x14ac:dyDescent="0.3">
      <c r="A29" s="112"/>
      <c r="B29" s="112"/>
      <c r="C29" s="112"/>
      <c r="D29" s="112"/>
      <c r="E29" s="112"/>
      <c r="F29" s="112"/>
      <c r="G29" s="112"/>
      <c r="H29" s="112"/>
      <c r="I29" s="112"/>
      <c r="J29" s="112"/>
      <c r="K29" s="112"/>
    </row>
    <row r="30" spans="1:13" x14ac:dyDescent="0.3">
      <c r="A30" s="112"/>
      <c r="B30" s="112"/>
      <c r="C30" s="112"/>
      <c r="D30" s="112"/>
      <c r="E30" s="112"/>
      <c r="F30" s="112"/>
      <c r="G30" s="112"/>
      <c r="H30" s="112"/>
      <c r="I30" s="112"/>
      <c r="J30" s="112"/>
      <c r="K30" s="112"/>
    </row>
    <row r="31" spans="1:13" x14ac:dyDescent="0.3">
      <c r="A31" s="112"/>
      <c r="B31" s="112"/>
      <c r="C31" s="112"/>
      <c r="D31" s="112"/>
      <c r="E31" s="112"/>
      <c r="F31" s="112"/>
      <c r="G31" s="112"/>
      <c r="H31" s="112"/>
      <c r="I31" s="112"/>
      <c r="J31" s="112"/>
      <c r="K31" s="112"/>
    </row>
    <row r="32" spans="1:13" x14ac:dyDescent="0.3">
      <c r="A32" s="112"/>
      <c r="B32" s="112"/>
      <c r="C32" s="112"/>
      <c r="D32" s="112"/>
      <c r="E32" s="112"/>
      <c r="F32" s="112"/>
      <c r="G32" s="112"/>
      <c r="H32" s="112"/>
      <c r="I32" s="112"/>
      <c r="J32" s="112"/>
      <c r="K32" s="112"/>
    </row>
    <row r="33" spans="1:11" x14ac:dyDescent="0.3">
      <c r="A33" s="112"/>
      <c r="B33" s="112"/>
      <c r="C33" s="112"/>
      <c r="D33" s="112"/>
      <c r="E33" s="112"/>
      <c r="F33" s="112"/>
      <c r="G33" s="112"/>
      <c r="H33" s="112"/>
      <c r="I33" s="112"/>
      <c r="J33" s="112"/>
      <c r="K33" s="112"/>
    </row>
    <row r="34" spans="1:11" ht="15" customHeight="1" x14ac:dyDescent="0.3">
      <c r="A34" s="319"/>
      <c r="B34" s="319"/>
      <c r="C34" s="319"/>
      <c r="D34" s="319"/>
      <c r="E34" s="319"/>
      <c r="F34" s="319"/>
      <c r="G34" s="319"/>
      <c r="H34" s="319"/>
      <c r="I34" s="319"/>
      <c r="J34" s="319"/>
      <c r="K34" s="319"/>
    </row>
    <row r="35" spans="1:11" x14ac:dyDescent="0.3">
      <c r="A35" s="112"/>
      <c r="B35" s="112"/>
      <c r="C35" s="112"/>
      <c r="D35" s="112"/>
      <c r="E35" s="112"/>
      <c r="F35" s="112"/>
      <c r="G35" s="112"/>
      <c r="H35" s="112"/>
      <c r="I35" s="112"/>
      <c r="J35" s="112"/>
      <c r="K35" s="112"/>
    </row>
  </sheetData>
  <mergeCells count="11">
    <mergeCell ref="A34:K34"/>
    <mergeCell ref="E1:K3"/>
    <mergeCell ref="E4:K4"/>
    <mergeCell ref="A22:B22"/>
    <mergeCell ref="A1:D1"/>
    <mergeCell ref="A2:D2"/>
    <mergeCell ref="A3:D3"/>
    <mergeCell ref="A23:D23"/>
    <mergeCell ref="A24:D24"/>
    <mergeCell ref="A25:D25"/>
    <mergeCell ref="A26:D26"/>
  </mergeCells>
  <pageMargins left="0.511811024" right="0.511811024" top="1.201171875" bottom="0.99" header="0.31496062000000002" footer="0.31496062000000002"/>
  <pageSetup paperSize="9" scale="81" orientation="landscape" r:id="rId1"/>
  <headerFooter>
    <oddHeader>&amp;C&amp;G</oddHeader>
    <oddFooter>&amp;C&amp;"Century Gothic,Itálico"&amp;10Rua Elias Estevão Colnago, nº 65 – Centro - Itarana/ES  
CEP 29620-000    Tel.: (27) 3720-4900&amp;R_____________________________
&amp;"-,Negrito"Igor Alves Folador Dominicini&amp;"-,Itálico"
&amp;10Engenheiro Civil - CREA ES 043213/D</oddFooter>
  </headerFooter>
  <colBreaks count="1" manualBreakCount="1">
    <brk id="11"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8"/>
  <sheetViews>
    <sheetView view="pageBreakPreview" zoomScaleNormal="100" zoomScaleSheetLayoutView="100" workbookViewId="0">
      <selection activeCell="G16" sqref="G16"/>
    </sheetView>
  </sheetViews>
  <sheetFormatPr defaultRowHeight="15" x14ac:dyDescent="0.25"/>
  <cols>
    <col min="1" max="2" width="9.140625" style="27"/>
    <col min="3" max="3" width="18" style="27" customWidth="1"/>
    <col min="4" max="5" width="9.140625" style="27"/>
    <col min="6" max="6" width="13" style="27" customWidth="1"/>
    <col min="7" max="7" width="12.140625" style="27" customWidth="1"/>
  </cols>
  <sheetData>
    <row r="1" spans="1:9" ht="15.75" x14ac:dyDescent="0.25">
      <c r="A1" s="329" t="s">
        <v>223</v>
      </c>
      <c r="B1" s="329"/>
      <c r="C1" s="329"/>
      <c r="D1" s="329"/>
      <c r="E1" s="329"/>
      <c r="F1" s="329"/>
      <c r="G1" s="329"/>
    </row>
    <row r="2" spans="1:9" s="189" customFormat="1" ht="30" x14ac:dyDescent="0.25">
      <c r="A2" s="191" t="s">
        <v>224</v>
      </c>
      <c r="B2" s="191" t="s">
        <v>225</v>
      </c>
      <c r="C2" s="191" t="s">
        <v>226</v>
      </c>
      <c r="D2" s="191" t="s">
        <v>227</v>
      </c>
      <c r="E2" s="192" t="s">
        <v>228</v>
      </c>
      <c r="F2" s="192" t="s">
        <v>229</v>
      </c>
      <c r="G2" s="192" t="s">
        <v>230</v>
      </c>
    </row>
    <row r="3" spans="1:9" x14ac:dyDescent="0.25">
      <c r="A3" s="190" t="s">
        <v>231</v>
      </c>
      <c r="B3" s="190">
        <v>112</v>
      </c>
      <c r="C3" s="190" t="s">
        <v>232</v>
      </c>
      <c r="D3" s="190"/>
      <c r="E3" s="190"/>
      <c r="F3" s="190">
        <v>0.45</v>
      </c>
      <c r="G3" s="190">
        <f>F3*B3</f>
        <v>50.4</v>
      </c>
    </row>
    <row r="4" spans="1:9" x14ac:dyDescent="0.25">
      <c r="A4" s="27" t="s">
        <v>233</v>
      </c>
      <c r="B4" s="27">
        <v>1</v>
      </c>
      <c r="C4" s="27" t="s">
        <v>234</v>
      </c>
      <c r="D4" s="27" t="s">
        <v>235</v>
      </c>
      <c r="E4" s="27">
        <v>484</v>
      </c>
      <c r="F4" s="27">
        <v>0.45</v>
      </c>
    </row>
    <row r="5" spans="1:9" x14ac:dyDescent="0.25">
      <c r="A5" s="190" t="s">
        <v>236</v>
      </c>
      <c r="B5" s="190">
        <v>8</v>
      </c>
      <c r="C5" s="190" t="s">
        <v>237</v>
      </c>
      <c r="D5" s="190"/>
      <c r="E5" s="190"/>
      <c r="F5" s="190">
        <v>1.1200000000000001</v>
      </c>
      <c r="G5" s="190">
        <f>F5*B5</f>
        <v>8.9600000000000009</v>
      </c>
    </row>
    <row r="6" spans="1:9" x14ac:dyDescent="0.25">
      <c r="A6" s="27" t="s">
        <v>238</v>
      </c>
      <c r="B6" s="27">
        <v>1</v>
      </c>
      <c r="C6" s="27" t="s">
        <v>239</v>
      </c>
      <c r="D6" s="27" t="s">
        <v>235</v>
      </c>
      <c r="E6" s="27">
        <v>5020</v>
      </c>
      <c r="F6" s="27">
        <v>1.1200000000000001</v>
      </c>
    </row>
    <row r="7" spans="1:9" x14ac:dyDescent="0.25">
      <c r="A7" s="190" t="s">
        <v>240</v>
      </c>
      <c r="B7" s="190">
        <v>16</v>
      </c>
      <c r="C7" s="190" t="s">
        <v>237</v>
      </c>
      <c r="D7" s="190"/>
      <c r="E7" s="190"/>
      <c r="F7" s="190">
        <v>1.29</v>
      </c>
      <c r="G7" s="190">
        <f>F7*B7</f>
        <v>20.64</v>
      </c>
    </row>
    <row r="8" spans="1:9" x14ac:dyDescent="0.25">
      <c r="A8" s="27" t="s">
        <v>241</v>
      </c>
      <c r="B8" s="27">
        <v>1</v>
      </c>
      <c r="C8" s="27" t="s">
        <v>239</v>
      </c>
      <c r="D8" s="27" t="s">
        <v>235</v>
      </c>
      <c r="E8" s="27">
        <v>5786</v>
      </c>
      <c r="F8" s="27">
        <v>1.29</v>
      </c>
    </row>
    <row r="9" spans="1:9" x14ac:dyDescent="0.25">
      <c r="A9" s="190" t="s">
        <v>242</v>
      </c>
      <c r="B9" s="190">
        <v>48</v>
      </c>
      <c r="C9" s="190" t="s">
        <v>243</v>
      </c>
      <c r="D9" s="190"/>
      <c r="E9" s="190"/>
      <c r="F9" s="190">
        <v>0.47</v>
      </c>
      <c r="G9" s="190">
        <f>F9*B9</f>
        <v>22.56</v>
      </c>
      <c r="H9" s="195"/>
      <c r="I9" s="195"/>
    </row>
    <row r="10" spans="1:9" x14ac:dyDescent="0.25">
      <c r="A10" s="27" t="s">
        <v>244</v>
      </c>
      <c r="B10" s="27">
        <v>1</v>
      </c>
      <c r="C10" s="27" t="s">
        <v>247</v>
      </c>
      <c r="D10" s="27" t="s">
        <v>235</v>
      </c>
      <c r="E10" s="27">
        <v>150</v>
      </c>
      <c r="F10" s="27">
        <v>0.25</v>
      </c>
    </row>
    <row r="11" spans="1:9" x14ac:dyDescent="0.25">
      <c r="A11" s="27" t="s">
        <v>245</v>
      </c>
      <c r="B11" s="27">
        <v>2</v>
      </c>
      <c r="C11" s="27" t="s">
        <v>248</v>
      </c>
      <c r="D11" s="27" t="s">
        <v>235</v>
      </c>
      <c r="E11" s="27">
        <v>70</v>
      </c>
      <c r="F11" s="27">
        <v>0.06</v>
      </c>
    </row>
    <row r="12" spans="1:9" x14ac:dyDescent="0.25">
      <c r="A12" s="27" t="s">
        <v>246</v>
      </c>
      <c r="B12" s="27">
        <v>1</v>
      </c>
      <c r="C12" s="27" t="s">
        <v>247</v>
      </c>
      <c r="D12" s="27" t="s">
        <v>235</v>
      </c>
      <c r="E12" s="27">
        <v>70</v>
      </c>
      <c r="F12" s="27">
        <v>0.12</v>
      </c>
    </row>
    <row r="13" spans="1:9" x14ac:dyDescent="0.25">
      <c r="A13" s="190" t="s">
        <v>249</v>
      </c>
      <c r="B13" s="190">
        <v>60</v>
      </c>
      <c r="C13" s="190" t="s">
        <v>250</v>
      </c>
      <c r="D13" s="190"/>
      <c r="E13" s="190"/>
      <c r="F13" s="190">
        <v>2.86</v>
      </c>
      <c r="G13" s="190">
        <f>F13*B13</f>
        <v>171.6</v>
      </c>
      <c r="H13" s="195"/>
      <c r="I13" s="195"/>
    </row>
    <row r="14" spans="1:9" x14ac:dyDescent="0.25">
      <c r="A14" s="27" t="s">
        <v>251</v>
      </c>
      <c r="B14" s="27">
        <v>1</v>
      </c>
      <c r="C14" s="27" t="s">
        <v>253</v>
      </c>
      <c r="D14" s="27" t="s">
        <v>235</v>
      </c>
      <c r="E14" s="27">
        <v>1747</v>
      </c>
      <c r="F14" s="27">
        <v>2.69</v>
      </c>
    </row>
    <row r="15" spans="1:9" x14ac:dyDescent="0.25">
      <c r="A15" s="27" t="s">
        <v>252</v>
      </c>
      <c r="B15" s="27">
        <v>2</v>
      </c>
      <c r="C15" s="27" t="s">
        <v>254</v>
      </c>
      <c r="D15" s="27" t="s">
        <v>235</v>
      </c>
      <c r="E15" s="27">
        <v>60</v>
      </c>
      <c r="F15" s="27">
        <v>0.08</v>
      </c>
    </row>
    <row r="16" spans="1:9" x14ac:dyDescent="0.25">
      <c r="A16" s="190" t="s">
        <v>255</v>
      </c>
      <c r="B16" s="190">
        <v>14</v>
      </c>
      <c r="C16" s="190" t="s">
        <v>256</v>
      </c>
      <c r="D16" s="190"/>
      <c r="E16" s="190"/>
      <c r="F16" s="190">
        <v>159.86000000000001</v>
      </c>
      <c r="G16" s="190">
        <f>F16*B16</f>
        <v>2238.04</v>
      </c>
      <c r="H16" s="195"/>
      <c r="I16" s="195"/>
    </row>
    <row r="17" spans="1:7" x14ac:dyDescent="0.25">
      <c r="A17" s="27" t="s">
        <v>257</v>
      </c>
      <c r="B17" s="27">
        <v>1</v>
      </c>
      <c r="C17" s="27" t="s">
        <v>258</v>
      </c>
      <c r="D17" s="27" t="s">
        <v>235</v>
      </c>
      <c r="E17" s="27">
        <v>7721</v>
      </c>
      <c r="F17" s="27">
        <v>54.84</v>
      </c>
    </row>
    <row r="18" spans="1:7" x14ac:dyDescent="0.25">
      <c r="A18" s="27" t="s">
        <v>259</v>
      </c>
      <c r="B18" s="27">
        <v>2</v>
      </c>
      <c r="C18" s="27" t="s">
        <v>260</v>
      </c>
      <c r="D18" s="27" t="s">
        <v>235</v>
      </c>
      <c r="E18" s="27">
        <v>200</v>
      </c>
      <c r="F18" s="27">
        <v>2.12</v>
      </c>
    </row>
    <row r="19" spans="1:7" x14ac:dyDescent="0.25">
      <c r="A19" s="27" t="s">
        <v>261</v>
      </c>
      <c r="B19" s="27">
        <v>2</v>
      </c>
      <c r="C19" s="27" t="s">
        <v>268</v>
      </c>
      <c r="D19" s="27" t="s">
        <v>235</v>
      </c>
      <c r="E19" s="27">
        <v>220</v>
      </c>
      <c r="F19" s="27">
        <v>2.8</v>
      </c>
    </row>
    <row r="20" spans="1:7" x14ac:dyDescent="0.25">
      <c r="A20" s="27" t="s">
        <v>262</v>
      </c>
      <c r="B20" s="27">
        <v>1</v>
      </c>
      <c r="C20" s="27" t="s">
        <v>269</v>
      </c>
      <c r="D20" s="27" t="s">
        <v>235</v>
      </c>
      <c r="E20" s="27">
        <v>100</v>
      </c>
      <c r="F20" s="27">
        <v>0.5</v>
      </c>
    </row>
    <row r="21" spans="1:7" x14ac:dyDescent="0.25">
      <c r="A21" s="27" t="s">
        <v>263</v>
      </c>
      <c r="B21" s="27">
        <v>1</v>
      </c>
      <c r="C21" s="27" t="s">
        <v>270</v>
      </c>
      <c r="D21" s="27" t="s">
        <v>235</v>
      </c>
      <c r="E21" s="27">
        <v>100</v>
      </c>
      <c r="F21" s="27">
        <v>1.43</v>
      </c>
    </row>
    <row r="22" spans="1:7" x14ac:dyDescent="0.25">
      <c r="A22" s="27" t="s">
        <v>264</v>
      </c>
      <c r="B22" s="27">
        <v>1</v>
      </c>
      <c r="C22" s="27" t="s">
        <v>258</v>
      </c>
      <c r="D22" s="27" t="s">
        <v>235</v>
      </c>
      <c r="E22" s="27">
        <v>7796</v>
      </c>
      <c r="F22" s="27">
        <v>55.38</v>
      </c>
    </row>
    <row r="23" spans="1:7" x14ac:dyDescent="0.25">
      <c r="A23" s="27" t="s">
        <v>265</v>
      </c>
      <c r="B23" s="27">
        <v>17</v>
      </c>
      <c r="C23" s="27" t="s">
        <v>271</v>
      </c>
      <c r="D23" s="27" t="s">
        <v>235</v>
      </c>
      <c r="E23" s="27">
        <v>470</v>
      </c>
      <c r="F23" s="27">
        <v>1.25</v>
      </c>
    </row>
    <row r="24" spans="1:7" x14ac:dyDescent="0.25">
      <c r="A24" s="27" t="s">
        <v>266</v>
      </c>
      <c r="B24" s="27">
        <v>17</v>
      </c>
      <c r="C24" s="27" t="s">
        <v>271</v>
      </c>
      <c r="D24" s="27" t="s">
        <v>235</v>
      </c>
      <c r="E24" s="27">
        <v>350</v>
      </c>
      <c r="F24" s="27">
        <v>0.93</v>
      </c>
    </row>
    <row r="25" spans="1:7" x14ac:dyDescent="0.25">
      <c r="A25" s="27" t="s">
        <v>267</v>
      </c>
      <c r="B25" s="27">
        <v>1</v>
      </c>
      <c r="C25" s="27" t="s">
        <v>271</v>
      </c>
      <c r="D25" s="27" t="s">
        <v>235</v>
      </c>
      <c r="E25" s="27">
        <v>357</v>
      </c>
      <c r="F25" s="27">
        <v>0.95</v>
      </c>
    </row>
    <row r="26" spans="1:7" x14ac:dyDescent="0.25">
      <c r="A26" s="190" t="s">
        <v>272</v>
      </c>
      <c r="B26" s="190">
        <v>60</v>
      </c>
      <c r="C26" s="190" t="s">
        <v>273</v>
      </c>
      <c r="D26" s="190"/>
      <c r="E26" s="190"/>
      <c r="F26" s="190">
        <v>22.74</v>
      </c>
      <c r="G26" s="190">
        <f>F26*B26</f>
        <v>1364.3999999999999</v>
      </c>
    </row>
    <row r="27" spans="1:7" x14ac:dyDescent="0.25">
      <c r="A27" s="27" t="s">
        <v>277</v>
      </c>
      <c r="B27" s="27">
        <v>1</v>
      </c>
      <c r="C27" s="27" t="s">
        <v>274</v>
      </c>
      <c r="D27" s="27" t="s">
        <v>235</v>
      </c>
      <c r="E27" s="27">
        <v>4796</v>
      </c>
      <c r="F27" s="27">
        <v>22.74</v>
      </c>
    </row>
    <row r="28" spans="1:7" x14ac:dyDescent="0.25">
      <c r="A28" s="190" t="s">
        <v>275</v>
      </c>
      <c r="B28" s="190">
        <v>1</v>
      </c>
      <c r="C28" s="190" t="s">
        <v>273</v>
      </c>
      <c r="D28" s="190"/>
      <c r="E28" s="190"/>
      <c r="F28" s="190">
        <v>30.65</v>
      </c>
      <c r="G28" s="190">
        <v>30.65</v>
      </c>
    </row>
    <row r="29" spans="1:7" x14ac:dyDescent="0.25">
      <c r="A29" s="27" t="s">
        <v>278</v>
      </c>
      <c r="B29" s="27">
        <v>1</v>
      </c>
      <c r="C29" s="27" t="s">
        <v>274</v>
      </c>
      <c r="D29" s="27" t="s">
        <v>235</v>
      </c>
      <c r="E29" s="27">
        <v>6465</v>
      </c>
      <c r="F29" s="27">
        <v>30.65</v>
      </c>
    </row>
    <row r="30" spans="1:7" x14ac:dyDescent="0.25">
      <c r="A30" s="190" t="s">
        <v>276</v>
      </c>
      <c r="B30" s="190">
        <v>1</v>
      </c>
      <c r="C30" s="190" t="s">
        <v>273</v>
      </c>
      <c r="D30" s="190"/>
      <c r="E30" s="190"/>
      <c r="F30" s="190">
        <v>30.3</v>
      </c>
      <c r="G30" s="190">
        <v>30.3</v>
      </c>
    </row>
    <row r="31" spans="1:7" x14ac:dyDescent="0.25">
      <c r="A31" s="27" t="s">
        <v>279</v>
      </c>
      <c r="B31" s="27">
        <v>1</v>
      </c>
      <c r="C31" s="27" t="s">
        <v>274</v>
      </c>
      <c r="D31" s="27" t="s">
        <v>235</v>
      </c>
      <c r="E31" s="27">
        <v>6390</v>
      </c>
      <c r="F31" s="27">
        <v>30.3</v>
      </c>
    </row>
    <row r="32" spans="1:7" x14ac:dyDescent="0.25">
      <c r="A32" s="190" t="s">
        <v>280</v>
      </c>
      <c r="B32" s="190">
        <v>1</v>
      </c>
      <c r="C32" s="190" t="s">
        <v>273</v>
      </c>
      <c r="D32" s="190"/>
      <c r="E32" s="190"/>
      <c r="F32" s="190">
        <v>29.94</v>
      </c>
      <c r="G32" s="190">
        <v>29.94</v>
      </c>
    </row>
    <row r="33" spans="1:7" x14ac:dyDescent="0.25">
      <c r="A33" s="27" t="s">
        <v>281</v>
      </c>
      <c r="B33" s="27">
        <v>1</v>
      </c>
      <c r="C33" s="27" t="s">
        <v>274</v>
      </c>
      <c r="D33" s="27" t="s">
        <v>235</v>
      </c>
      <c r="E33" s="27">
        <v>6315</v>
      </c>
      <c r="F33" s="27">
        <v>29.94</v>
      </c>
    </row>
    <row r="34" spans="1:7" x14ac:dyDescent="0.25">
      <c r="A34" s="190" t="s">
        <v>282</v>
      </c>
      <c r="B34" s="190">
        <v>1</v>
      </c>
      <c r="C34" s="190" t="s">
        <v>273</v>
      </c>
      <c r="D34" s="190"/>
      <c r="E34" s="190"/>
      <c r="F34" s="190">
        <v>29.59</v>
      </c>
      <c r="G34" s="190">
        <v>29.59</v>
      </c>
    </row>
    <row r="35" spans="1:7" x14ac:dyDescent="0.25">
      <c r="A35" s="27" t="s">
        <v>283</v>
      </c>
      <c r="B35" s="27">
        <v>1</v>
      </c>
      <c r="C35" s="27" t="s">
        <v>274</v>
      </c>
      <c r="D35" s="27" t="s">
        <v>235</v>
      </c>
      <c r="E35" s="27">
        <v>6240</v>
      </c>
      <c r="F35" s="27">
        <v>29.59</v>
      </c>
    </row>
    <row r="36" spans="1:7" x14ac:dyDescent="0.25">
      <c r="A36" s="190" t="s">
        <v>284</v>
      </c>
      <c r="B36" s="190">
        <v>1</v>
      </c>
      <c r="C36" s="190" t="s">
        <v>273</v>
      </c>
      <c r="D36" s="190"/>
      <c r="E36" s="190"/>
      <c r="F36" s="190">
        <v>29.23</v>
      </c>
      <c r="G36" s="190">
        <v>29.23</v>
      </c>
    </row>
    <row r="37" spans="1:7" x14ac:dyDescent="0.25">
      <c r="A37" s="27" t="s">
        <v>285</v>
      </c>
      <c r="B37" s="27">
        <v>1</v>
      </c>
      <c r="C37" s="27" t="s">
        <v>274</v>
      </c>
      <c r="D37" s="27" t="s">
        <v>235</v>
      </c>
      <c r="E37" s="27">
        <v>6165</v>
      </c>
      <c r="F37" s="27">
        <v>29.23</v>
      </c>
    </row>
    <row r="38" spans="1:7" x14ac:dyDescent="0.25">
      <c r="A38" s="190" t="s">
        <v>286</v>
      </c>
      <c r="B38" s="190">
        <v>1</v>
      </c>
      <c r="C38" s="190" t="s">
        <v>273</v>
      </c>
      <c r="D38" s="190"/>
      <c r="E38" s="190"/>
      <c r="F38" s="190">
        <v>28.88</v>
      </c>
      <c r="G38" s="190">
        <v>28.88</v>
      </c>
    </row>
    <row r="39" spans="1:7" x14ac:dyDescent="0.25">
      <c r="A39" s="27" t="s">
        <v>287</v>
      </c>
      <c r="B39" s="27">
        <v>1</v>
      </c>
      <c r="C39" s="27" t="s">
        <v>274</v>
      </c>
      <c r="D39" s="27" t="s">
        <v>235</v>
      </c>
      <c r="E39" s="27">
        <v>6090</v>
      </c>
      <c r="F39" s="27">
        <v>28.88</v>
      </c>
    </row>
    <row r="40" spans="1:7" x14ac:dyDescent="0.25">
      <c r="A40" s="190" t="s">
        <v>288</v>
      </c>
      <c r="B40" s="190">
        <v>1</v>
      </c>
      <c r="C40" s="190" t="s">
        <v>273</v>
      </c>
      <c r="D40" s="190"/>
      <c r="E40" s="190"/>
      <c r="F40" s="190">
        <v>28.78</v>
      </c>
      <c r="G40" s="190">
        <v>28.78</v>
      </c>
    </row>
    <row r="41" spans="1:7" x14ac:dyDescent="0.25">
      <c r="A41" s="27" t="s">
        <v>289</v>
      </c>
      <c r="B41" s="27">
        <v>1</v>
      </c>
      <c r="C41" s="27" t="s">
        <v>274</v>
      </c>
      <c r="D41" s="27" t="s">
        <v>235</v>
      </c>
      <c r="E41" s="27">
        <v>6070</v>
      </c>
      <c r="F41" s="27">
        <v>28.78</v>
      </c>
    </row>
    <row r="42" spans="1:7" x14ac:dyDescent="0.25">
      <c r="A42" s="190" t="s">
        <v>290</v>
      </c>
      <c r="B42" s="190">
        <v>1</v>
      </c>
      <c r="C42" s="190" t="s">
        <v>273</v>
      </c>
      <c r="D42" s="190"/>
      <c r="E42" s="190"/>
      <c r="F42" s="190">
        <v>28.42</v>
      </c>
      <c r="G42" s="190">
        <v>28.42</v>
      </c>
    </row>
    <row r="43" spans="1:7" x14ac:dyDescent="0.25">
      <c r="A43" s="27" t="s">
        <v>291</v>
      </c>
      <c r="B43" s="27">
        <v>1</v>
      </c>
      <c r="C43" s="27" t="s">
        <v>274</v>
      </c>
      <c r="D43" s="27" t="s">
        <v>235</v>
      </c>
      <c r="E43" s="27">
        <v>5995</v>
      </c>
      <c r="F43" s="27">
        <v>28.42</v>
      </c>
    </row>
    <row r="44" spans="1:7" x14ac:dyDescent="0.25">
      <c r="A44" s="190" t="s">
        <v>292</v>
      </c>
      <c r="B44" s="190">
        <v>1</v>
      </c>
      <c r="C44" s="190" t="s">
        <v>273</v>
      </c>
      <c r="D44" s="190"/>
      <c r="E44" s="190"/>
      <c r="F44" s="190">
        <v>28.07</v>
      </c>
      <c r="G44" s="190">
        <v>28.07</v>
      </c>
    </row>
    <row r="45" spans="1:7" x14ac:dyDescent="0.25">
      <c r="A45" s="27" t="s">
        <v>293</v>
      </c>
      <c r="B45" s="27">
        <v>1</v>
      </c>
      <c r="C45" s="27" t="s">
        <v>274</v>
      </c>
      <c r="D45" s="27" t="s">
        <v>235</v>
      </c>
      <c r="E45" s="27">
        <v>5920</v>
      </c>
      <c r="F45" s="27">
        <v>28.07</v>
      </c>
    </row>
    <row r="46" spans="1:7" x14ac:dyDescent="0.25">
      <c r="A46" s="190" t="s">
        <v>294</v>
      </c>
      <c r="B46" s="190">
        <v>1</v>
      </c>
      <c r="C46" s="190" t="s">
        <v>273</v>
      </c>
      <c r="D46" s="190"/>
      <c r="E46" s="190"/>
      <c r="F46" s="190">
        <v>27.71</v>
      </c>
      <c r="G46" s="190">
        <v>27.71</v>
      </c>
    </row>
    <row r="47" spans="1:7" x14ac:dyDescent="0.25">
      <c r="A47" s="27" t="s">
        <v>295</v>
      </c>
      <c r="B47" s="27">
        <v>1</v>
      </c>
      <c r="C47" s="27" t="s">
        <v>274</v>
      </c>
      <c r="D47" s="27" t="s">
        <v>235</v>
      </c>
      <c r="E47" s="27">
        <v>5845</v>
      </c>
      <c r="F47" s="27">
        <v>27.71</v>
      </c>
    </row>
    <row r="48" spans="1:7" x14ac:dyDescent="0.25">
      <c r="A48" s="190" t="s">
        <v>296</v>
      </c>
      <c r="B48" s="190">
        <v>1</v>
      </c>
      <c r="C48" s="190" t="s">
        <v>273</v>
      </c>
      <c r="D48" s="190"/>
      <c r="E48" s="190"/>
      <c r="F48" s="190">
        <v>27.36</v>
      </c>
      <c r="G48" s="190">
        <v>27.36</v>
      </c>
    </row>
    <row r="49" spans="1:8" x14ac:dyDescent="0.25">
      <c r="A49" s="27" t="s">
        <v>297</v>
      </c>
      <c r="B49" s="27">
        <v>1</v>
      </c>
      <c r="C49" s="27" t="s">
        <v>274</v>
      </c>
      <c r="D49" s="27" t="s">
        <v>235</v>
      </c>
      <c r="E49" s="27">
        <v>5770</v>
      </c>
      <c r="F49" s="27">
        <v>27.36</v>
      </c>
    </row>
    <row r="50" spans="1:8" x14ac:dyDescent="0.25">
      <c r="A50" s="190" t="s">
        <v>298</v>
      </c>
      <c r="B50" s="190">
        <v>1</v>
      </c>
      <c r="C50" s="190" t="s">
        <v>273</v>
      </c>
      <c r="D50" s="190"/>
      <c r="E50" s="190"/>
      <c r="F50" s="190">
        <v>27</v>
      </c>
      <c r="G50" s="190">
        <v>27</v>
      </c>
    </row>
    <row r="51" spans="1:8" x14ac:dyDescent="0.25">
      <c r="A51" s="27" t="s">
        <v>299</v>
      </c>
      <c r="B51" s="27">
        <v>1</v>
      </c>
      <c r="C51" s="27" t="s">
        <v>274</v>
      </c>
      <c r="D51" s="27" t="s">
        <v>235</v>
      </c>
      <c r="E51" s="27">
        <v>5695</v>
      </c>
      <c r="F51" s="27">
        <v>27</v>
      </c>
    </row>
    <row r="52" spans="1:8" s="195" customFormat="1" x14ac:dyDescent="0.25">
      <c r="A52" s="190" t="s">
        <v>300</v>
      </c>
      <c r="B52" s="190">
        <v>7</v>
      </c>
      <c r="C52" s="190" t="s">
        <v>301</v>
      </c>
      <c r="D52" s="190"/>
      <c r="E52" s="190"/>
      <c r="F52" s="190">
        <v>0.56000000000000005</v>
      </c>
      <c r="G52" s="190">
        <f>F52*B52</f>
        <v>3.9200000000000004</v>
      </c>
    </row>
    <row r="53" spans="1:8" x14ac:dyDescent="0.25">
      <c r="A53" s="27" t="s">
        <v>302</v>
      </c>
      <c r="B53" s="27">
        <v>1</v>
      </c>
      <c r="C53" s="27" t="s">
        <v>303</v>
      </c>
      <c r="D53" s="27" t="s">
        <v>235</v>
      </c>
      <c r="E53" s="27">
        <v>200</v>
      </c>
      <c r="F53" s="27">
        <v>0.56000000000000005</v>
      </c>
    </row>
    <row r="54" spans="1:8" x14ac:dyDescent="0.25">
      <c r="A54" s="190" t="s">
        <v>304</v>
      </c>
      <c r="B54" s="190">
        <v>7</v>
      </c>
      <c r="C54" s="190" t="s">
        <v>305</v>
      </c>
      <c r="D54" s="190"/>
      <c r="E54" s="190"/>
      <c r="F54" s="190">
        <v>1.81</v>
      </c>
      <c r="G54" s="190">
        <f>F54*B54</f>
        <v>12.67</v>
      </c>
    </row>
    <row r="55" spans="1:8" x14ac:dyDescent="0.25">
      <c r="A55" s="27" t="s">
        <v>306</v>
      </c>
      <c r="B55" s="27">
        <v>1</v>
      </c>
      <c r="C55" s="27" t="s">
        <v>234</v>
      </c>
      <c r="D55" s="27" t="s">
        <v>235</v>
      </c>
      <c r="E55" s="27">
        <v>2010</v>
      </c>
      <c r="F55" s="27">
        <v>1.81</v>
      </c>
    </row>
    <row r="56" spans="1:8" x14ac:dyDescent="0.25">
      <c r="A56" s="190" t="s">
        <v>307</v>
      </c>
      <c r="B56" s="190">
        <v>14</v>
      </c>
      <c r="C56" s="190" t="s">
        <v>305</v>
      </c>
      <c r="D56" s="190"/>
      <c r="E56" s="190"/>
      <c r="F56" s="190">
        <v>33.43</v>
      </c>
      <c r="G56" s="190">
        <f>F56*B56</f>
        <v>468.02</v>
      </c>
    </row>
    <row r="57" spans="1:8" x14ac:dyDescent="0.25">
      <c r="A57" s="27" t="s">
        <v>308</v>
      </c>
      <c r="B57" s="27">
        <v>1</v>
      </c>
      <c r="C57" s="27" t="s">
        <v>309</v>
      </c>
      <c r="D57" s="27" t="s">
        <v>235</v>
      </c>
      <c r="E57" s="27">
        <v>8800</v>
      </c>
      <c r="F57" s="27">
        <v>33.43</v>
      </c>
    </row>
    <row r="58" spans="1:8" x14ac:dyDescent="0.25">
      <c r="A58" s="190" t="s">
        <v>310</v>
      </c>
      <c r="B58" s="190">
        <v>14</v>
      </c>
      <c r="C58" s="190" t="s">
        <v>311</v>
      </c>
      <c r="D58" s="190"/>
      <c r="E58" s="190"/>
      <c r="F58" s="190">
        <v>153.30000000000001</v>
      </c>
      <c r="G58" s="190">
        <f>F58*B58</f>
        <v>2146.2000000000003</v>
      </c>
      <c r="H58" s="195"/>
    </row>
    <row r="59" spans="1:8" x14ac:dyDescent="0.25">
      <c r="A59" s="27" t="s">
        <v>312</v>
      </c>
      <c r="B59" s="27">
        <v>1</v>
      </c>
      <c r="C59" s="27" t="s">
        <v>313</v>
      </c>
      <c r="D59" s="27" t="s">
        <v>235</v>
      </c>
      <c r="E59" s="27">
        <v>8972</v>
      </c>
      <c r="F59" s="27">
        <v>36.43</v>
      </c>
    </row>
    <row r="60" spans="1:8" x14ac:dyDescent="0.25">
      <c r="A60" s="27" t="s">
        <v>261</v>
      </c>
      <c r="B60" s="27">
        <v>4</v>
      </c>
      <c r="C60" s="27" t="s">
        <v>268</v>
      </c>
      <c r="D60" s="27" t="s">
        <v>235</v>
      </c>
      <c r="E60" s="27">
        <v>220</v>
      </c>
      <c r="F60" s="27">
        <v>2.8</v>
      </c>
    </row>
    <row r="61" spans="1:8" x14ac:dyDescent="0.25">
      <c r="A61" s="27" t="s">
        <v>314</v>
      </c>
      <c r="B61" s="27">
        <v>4</v>
      </c>
      <c r="C61" s="27" t="s">
        <v>316</v>
      </c>
      <c r="D61" s="27" t="s">
        <v>235</v>
      </c>
      <c r="E61" s="27">
        <v>223</v>
      </c>
      <c r="F61" s="27">
        <v>0.28000000000000003</v>
      </c>
    </row>
    <row r="62" spans="1:8" x14ac:dyDescent="0.25">
      <c r="A62" s="27" t="s">
        <v>315</v>
      </c>
      <c r="B62" s="27">
        <v>4</v>
      </c>
      <c r="C62" s="27" t="s">
        <v>317</v>
      </c>
      <c r="D62" s="27" t="s">
        <v>235</v>
      </c>
      <c r="E62" s="27">
        <v>266</v>
      </c>
      <c r="F62" s="27">
        <v>0.28000000000000003</v>
      </c>
    </row>
    <row r="63" spans="1:8" x14ac:dyDescent="0.25">
      <c r="A63" s="27" t="s">
        <v>318</v>
      </c>
      <c r="B63" s="27">
        <v>1</v>
      </c>
      <c r="C63" s="27" t="s">
        <v>313</v>
      </c>
      <c r="D63" s="27" t="s">
        <v>235</v>
      </c>
      <c r="E63" s="27">
        <v>8972</v>
      </c>
      <c r="F63" s="27">
        <v>36.43</v>
      </c>
    </row>
    <row r="64" spans="1:8" x14ac:dyDescent="0.25">
      <c r="A64" s="27" t="s">
        <v>319</v>
      </c>
      <c r="B64" s="27">
        <v>10</v>
      </c>
      <c r="C64" s="27" t="s">
        <v>320</v>
      </c>
      <c r="D64" s="27" t="s">
        <v>235</v>
      </c>
      <c r="E64" s="27">
        <v>1100</v>
      </c>
      <c r="F64" s="27">
        <v>4.25</v>
      </c>
    </row>
    <row r="65" spans="1:7" x14ac:dyDescent="0.25">
      <c r="A65" s="27" t="s">
        <v>321</v>
      </c>
      <c r="B65" s="27">
        <v>1</v>
      </c>
      <c r="C65" s="27" t="s">
        <v>320</v>
      </c>
      <c r="D65" s="27" t="s">
        <v>235</v>
      </c>
      <c r="E65" s="27">
        <v>800</v>
      </c>
      <c r="F65" s="27">
        <v>3.09</v>
      </c>
    </row>
    <row r="66" spans="1:7" x14ac:dyDescent="0.25">
      <c r="A66" s="27" t="s">
        <v>322</v>
      </c>
      <c r="B66" s="27">
        <v>6</v>
      </c>
      <c r="C66" s="27" t="s">
        <v>323</v>
      </c>
      <c r="D66" s="27" t="s">
        <v>235</v>
      </c>
      <c r="E66" s="27">
        <v>145</v>
      </c>
      <c r="F66" s="27">
        <v>0.44</v>
      </c>
    </row>
    <row r="67" spans="1:7" x14ac:dyDescent="0.25">
      <c r="A67" s="27" t="s">
        <v>324</v>
      </c>
      <c r="B67" s="27">
        <v>9</v>
      </c>
      <c r="C67" s="27" t="s">
        <v>271</v>
      </c>
      <c r="D67" s="27" t="s">
        <v>235</v>
      </c>
      <c r="E67" s="27">
        <v>790</v>
      </c>
      <c r="F67" s="27">
        <v>2.09</v>
      </c>
    </row>
    <row r="68" spans="1:7" x14ac:dyDescent="0.25">
      <c r="F68" s="196" t="s">
        <v>325</v>
      </c>
      <c r="G68" s="196">
        <f>G58+G56+G54+G52+G50+G48+G46+G44+G42+G40+G38+G36+G34+G32+G30+G28+G26+G16+G13+G9+G7+G5+G3</f>
        <v>6853.340000000002</v>
      </c>
    </row>
  </sheetData>
  <mergeCells count="1">
    <mergeCell ref="A1:G1"/>
  </mergeCells>
  <pageMargins left="0.511811024" right="0.511811024" top="1.40625" bottom="1.1354166666666667" header="0.31496062000000002" footer="0.31496062000000002"/>
  <pageSetup paperSize="9" scale="65" orientation="portrait" r:id="rId1"/>
  <headerFooter>
    <oddHeader>&amp;C&amp;G</oddHeader>
    <oddFooter>&amp;C&amp;"-,Itálico"&amp;10Rua Elias Estevão Colnago, nº 65 – Centro - Itarana/ES
 CEP 29620-000    Tel.: (27) 3720-4900&amp;R&amp;10____________________________
Igor Alves Folador Dominicini
Engenheiro CIvil - CREA ES-043213/D</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H57"/>
  <sheetViews>
    <sheetView showGridLines="0" view="pageBreakPreview" zoomScaleNormal="115" zoomScaleSheetLayoutView="100" workbookViewId="0">
      <selection activeCell="C54" sqref="C54"/>
    </sheetView>
  </sheetViews>
  <sheetFormatPr defaultRowHeight="12.75" x14ac:dyDescent="0.2"/>
  <cols>
    <col min="1" max="1" width="11" style="133" bestFit="1" customWidth="1"/>
    <col min="2" max="2" width="40.42578125" style="133" customWidth="1"/>
    <col min="3" max="3" width="11.7109375" style="143" customWidth="1"/>
    <col min="4" max="4" width="3.140625" style="170" bestFit="1" customWidth="1"/>
    <col min="5" max="5" width="11" style="133" bestFit="1" customWidth="1"/>
    <col min="6" max="6" width="34.42578125" style="133" customWidth="1"/>
    <col min="7" max="256" width="9.140625" style="133"/>
    <col min="257" max="257" width="11" style="133" bestFit="1" customWidth="1"/>
    <col min="258" max="258" width="40.42578125" style="133" customWidth="1"/>
    <col min="259" max="259" width="11.7109375" style="133" customWidth="1"/>
    <col min="260" max="260" width="3.140625" style="133" bestFit="1" customWidth="1"/>
    <col min="261" max="261" width="11" style="133" bestFit="1" customWidth="1"/>
    <col min="262" max="262" width="34.42578125" style="133" customWidth="1"/>
    <col min="263" max="512" width="9.140625" style="133"/>
    <col min="513" max="513" width="11" style="133" bestFit="1" customWidth="1"/>
    <col min="514" max="514" width="40.42578125" style="133" customWidth="1"/>
    <col min="515" max="515" width="11.7109375" style="133" customWidth="1"/>
    <col min="516" max="516" width="3.140625" style="133" bestFit="1" customWidth="1"/>
    <col min="517" max="517" width="11" style="133" bestFit="1" customWidth="1"/>
    <col min="518" max="518" width="34.42578125" style="133" customWidth="1"/>
    <col min="519" max="768" width="9.140625" style="133"/>
    <col min="769" max="769" width="11" style="133" bestFit="1" customWidth="1"/>
    <col min="770" max="770" width="40.42578125" style="133" customWidth="1"/>
    <col min="771" max="771" width="11.7109375" style="133" customWidth="1"/>
    <col min="772" max="772" width="3.140625" style="133" bestFit="1" customWidth="1"/>
    <col min="773" max="773" width="11" style="133" bestFit="1" customWidth="1"/>
    <col min="774" max="774" width="34.42578125" style="133" customWidth="1"/>
    <col min="775" max="1024" width="9.140625" style="133"/>
    <col min="1025" max="1025" width="11" style="133" bestFit="1" customWidth="1"/>
    <col min="1026" max="1026" width="40.42578125" style="133" customWidth="1"/>
    <col min="1027" max="1027" width="11.7109375" style="133" customWidth="1"/>
    <col min="1028" max="1028" width="3.140625" style="133" bestFit="1" customWidth="1"/>
    <col min="1029" max="1029" width="11" style="133" bestFit="1" customWidth="1"/>
    <col min="1030" max="1030" width="34.42578125" style="133" customWidth="1"/>
    <col min="1031" max="1280" width="9.140625" style="133"/>
    <col min="1281" max="1281" width="11" style="133" bestFit="1" customWidth="1"/>
    <col min="1282" max="1282" width="40.42578125" style="133" customWidth="1"/>
    <col min="1283" max="1283" width="11.7109375" style="133" customWidth="1"/>
    <col min="1284" max="1284" width="3.140625" style="133" bestFit="1" customWidth="1"/>
    <col min="1285" max="1285" width="11" style="133" bestFit="1" customWidth="1"/>
    <col min="1286" max="1286" width="34.42578125" style="133" customWidth="1"/>
    <col min="1287" max="1536" width="9.140625" style="133"/>
    <col min="1537" max="1537" width="11" style="133" bestFit="1" customWidth="1"/>
    <col min="1538" max="1538" width="40.42578125" style="133" customWidth="1"/>
    <col min="1539" max="1539" width="11.7109375" style="133" customWidth="1"/>
    <col min="1540" max="1540" width="3.140625" style="133" bestFit="1" customWidth="1"/>
    <col min="1541" max="1541" width="11" style="133" bestFit="1" customWidth="1"/>
    <col min="1542" max="1542" width="34.42578125" style="133" customWidth="1"/>
    <col min="1543" max="1792" width="9.140625" style="133"/>
    <col min="1793" max="1793" width="11" style="133" bestFit="1" customWidth="1"/>
    <col min="1794" max="1794" width="40.42578125" style="133" customWidth="1"/>
    <col min="1795" max="1795" width="11.7109375" style="133" customWidth="1"/>
    <col min="1796" max="1796" width="3.140625" style="133" bestFit="1" customWidth="1"/>
    <col min="1797" max="1797" width="11" style="133" bestFit="1" customWidth="1"/>
    <col min="1798" max="1798" width="34.42578125" style="133" customWidth="1"/>
    <col min="1799" max="2048" width="9.140625" style="133"/>
    <col min="2049" max="2049" width="11" style="133" bestFit="1" customWidth="1"/>
    <col min="2050" max="2050" width="40.42578125" style="133" customWidth="1"/>
    <col min="2051" max="2051" width="11.7109375" style="133" customWidth="1"/>
    <col min="2052" max="2052" width="3.140625" style="133" bestFit="1" customWidth="1"/>
    <col min="2053" max="2053" width="11" style="133" bestFit="1" customWidth="1"/>
    <col min="2054" max="2054" width="34.42578125" style="133" customWidth="1"/>
    <col min="2055" max="2304" width="9.140625" style="133"/>
    <col min="2305" max="2305" width="11" style="133" bestFit="1" customWidth="1"/>
    <col min="2306" max="2306" width="40.42578125" style="133" customWidth="1"/>
    <col min="2307" max="2307" width="11.7109375" style="133" customWidth="1"/>
    <col min="2308" max="2308" width="3.140625" style="133" bestFit="1" customWidth="1"/>
    <col min="2309" max="2309" width="11" style="133" bestFit="1" customWidth="1"/>
    <col min="2310" max="2310" width="34.42578125" style="133" customWidth="1"/>
    <col min="2311" max="2560" width="9.140625" style="133"/>
    <col min="2561" max="2561" width="11" style="133" bestFit="1" customWidth="1"/>
    <col min="2562" max="2562" width="40.42578125" style="133" customWidth="1"/>
    <col min="2563" max="2563" width="11.7109375" style="133" customWidth="1"/>
    <col min="2564" max="2564" width="3.140625" style="133" bestFit="1" customWidth="1"/>
    <col min="2565" max="2565" width="11" style="133" bestFit="1" customWidth="1"/>
    <col min="2566" max="2566" width="34.42578125" style="133" customWidth="1"/>
    <col min="2567" max="2816" width="9.140625" style="133"/>
    <col min="2817" max="2817" width="11" style="133" bestFit="1" customWidth="1"/>
    <col min="2818" max="2818" width="40.42578125" style="133" customWidth="1"/>
    <col min="2819" max="2819" width="11.7109375" style="133" customWidth="1"/>
    <col min="2820" max="2820" width="3.140625" style="133" bestFit="1" customWidth="1"/>
    <col min="2821" max="2821" width="11" style="133" bestFit="1" customWidth="1"/>
    <col min="2822" max="2822" width="34.42578125" style="133" customWidth="1"/>
    <col min="2823" max="3072" width="9.140625" style="133"/>
    <col min="3073" max="3073" width="11" style="133" bestFit="1" customWidth="1"/>
    <col min="3074" max="3074" width="40.42578125" style="133" customWidth="1"/>
    <col min="3075" max="3075" width="11.7109375" style="133" customWidth="1"/>
    <col min="3076" max="3076" width="3.140625" style="133" bestFit="1" customWidth="1"/>
    <col min="3077" max="3077" width="11" style="133" bestFit="1" customWidth="1"/>
    <col min="3078" max="3078" width="34.42578125" style="133" customWidth="1"/>
    <col min="3079" max="3328" width="9.140625" style="133"/>
    <col min="3329" max="3329" width="11" style="133" bestFit="1" customWidth="1"/>
    <col min="3330" max="3330" width="40.42578125" style="133" customWidth="1"/>
    <col min="3331" max="3331" width="11.7109375" style="133" customWidth="1"/>
    <col min="3332" max="3332" width="3.140625" style="133" bestFit="1" customWidth="1"/>
    <col min="3333" max="3333" width="11" style="133" bestFit="1" customWidth="1"/>
    <col min="3334" max="3334" width="34.42578125" style="133" customWidth="1"/>
    <col min="3335" max="3584" width="9.140625" style="133"/>
    <col min="3585" max="3585" width="11" style="133" bestFit="1" customWidth="1"/>
    <col min="3586" max="3586" width="40.42578125" style="133" customWidth="1"/>
    <col min="3587" max="3587" width="11.7109375" style="133" customWidth="1"/>
    <col min="3588" max="3588" width="3.140625" style="133" bestFit="1" customWidth="1"/>
    <col min="3589" max="3589" width="11" style="133" bestFit="1" customWidth="1"/>
    <col min="3590" max="3590" width="34.42578125" style="133" customWidth="1"/>
    <col min="3591" max="3840" width="9.140625" style="133"/>
    <col min="3841" max="3841" width="11" style="133" bestFit="1" customWidth="1"/>
    <col min="3842" max="3842" width="40.42578125" style="133" customWidth="1"/>
    <col min="3843" max="3843" width="11.7109375" style="133" customWidth="1"/>
    <col min="3844" max="3844" width="3.140625" style="133" bestFit="1" customWidth="1"/>
    <col min="3845" max="3845" width="11" style="133" bestFit="1" customWidth="1"/>
    <col min="3846" max="3846" width="34.42578125" style="133" customWidth="1"/>
    <col min="3847" max="4096" width="9.140625" style="133"/>
    <col min="4097" max="4097" width="11" style="133" bestFit="1" customWidth="1"/>
    <col min="4098" max="4098" width="40.42578125" style="133" customWidth="1"/>
    <col min="4099" max="4099" width="11.7109375" style="133" customWidth="1"/>
    <col min="4100" max="4100" width="3.140625" style="133" bestFit="1" customWidth="1"/>
    <col min="4101" max="4101" width="11" style="133" bestFit="1" customWidth="1"/>
    <col min="4102" max="4102" width="34.42578125" style="133" customWidth="1"/>
    <col min="4103" max="4352" width="9.140625" style="133"/>
    <col min="4353" max="4353" width="11" style="133" bestFit="1" customWidth="1"/>
    <col min="4354" max="4354" width="40.42578125" style="133" customWidth="1"/>
    <col min="4355" max="4355" width="11.7109375" style="133" customWidth="1"/>
    <col min="4356" max="4356" width="3.140625" style="133" bestFit="1" customWidth="1"/>
    <col min="4357" max="4357" width="11" style="133" bestFit="1" customWidth="1"/>
    <col min="4358" max="4358" width="34.42578125" style="133" customWidth="1"/>
    <col min="4359" max="4608" width="9.140625" style="133"/>
    <col min="4609" max="4609" width="11" style="133" bestFit="1" customWidth="1"/>
    <col min="4610" max="4610" width="40.42578125" style="133" customWidth="1"/>
    <col min="4611" max="4611" width="11.7109375" style="133" customWidth="1"/>
    <col min="4612" max="4612" width="3.140625" style="133" bestFit="1" customWidth="1"/>
    <col min="4613" max="4613" width="11" style="133" bestFit="1" customWidth="1"/>
    <col min="4614" max="4614" width="34.42578125" style="133" customWidth="1"/>
    <col min="4615" max="4864" width="9.140625" style="133"/>
    <col min="4865" max="4865" width="11" style="133" bestFit="1" customWidth="1"/>
    <col min="4866" max="4866" width="40.42578125" style="133" customWidth="1"/>
    <col min="4867" max="4867" width="11.7109375" style="133" customWidth="1"/>
    <col min="4868" max="4868" width="3.140625" style="133" bestFit="1" customWidth="1"/>
    <col min="4869" max="4869" width="11" style="133" bestFit="1" customWidth="1"/>
    <col min="4870" max="4870" width="34.42578125" style="133" customWidth="1"/>
    <col min="4871" max="5120" width="9.140625" style="133"/>
    <col min="5121" max="5121" width="11" style="133" bestFit="1" customWidth="1"/>
    <col min="5122" max="5122" width="40.42578125" style="133" customWidth="1"/>
    <col min="5123" max="5123" width="11.7109375" style="133" customWidth="1"/>
    <col min="5124" max="5124" width="3.140625" style="133" bestFit="1" customWidth="1"/>
    <col min="5125" max="5125" width="11" style="133" bestFit="1" customWidth="1"/>
    <col min="5126" max="5126" width="34.42578125" style="133" customWidth="1"/>
    <col min="5127" max="5376" width="9.140625" style="133"/>
    <col min="5377" max="5377" width="11" style="133" bestFit="1" customWidth="1"/>
    <col min="5378" max="5378" width="40.42578125" style="133" customWidth="1"/>
    <col min="5379" max="5379" width="11.7109375" style="133" customWidth="1"/>
    <col min="5380" max="5380" width="3.140625" style="133" bestFit="1" customWidth="1"/>
    <col min="5381" max="5381" width="11" style="133" bestFit="1" customWidth="1"/>
    <col min="5382" max="5382" width="34.42578125" style="133" customWidth="1"/>
    <col min="5383" max="5632" width="9.140625" style="133"/>
    <col min="5633" max="5633" width="11" style="133" bestFit="1" customWidth="1"/>
    <col min="5634" max="5634" width="40.42578125" style="133" customWidth="1"/>
    <col min="5635" max="5635" width="11.7109375" style="133" customWidth="1"/>
    <col min="5636" max="5636" width="3.140625" style="133" bestFit="1" customWidth="1"/>
    <col min="5637" max="5637" width="11" style="133" bestFit="1" customWidth="1"/>
    <col min="5638" max="5638" width="34.42578125" style="133" customWidth="1"/>
    <col min="5639" max="5888" width="9.140625" style="133"/>
    <col min="5889" max="5889" width="11" style="133" bestFit="1" customWidth="1"/>
    <col min="5890" max="5890" width="40.42578125" style="133" customWidth="1"/>
    <col min="5891" max="5891" width="11.7109375" style="133" customWidth="1"/>
    <col min="5892" max="5892" width="3.140625" style="133" bestFit="1" customWidth="1"/>
    <col min="5893" max="5893" width="11" style="133" bestFit="1" customWidth="1"/>
    <col min="5894" max="5894" width="34.42578125" style="133" customWidth="1"/>
    <col min="5895" max="6144" width="9.140625" style="133"/>
    <col min="6145" max="6145" width="11" style="133" bestFit="1" customWidth="1"/>
    <col min="6146" max="6146" width="40.42578125" style="133" customWidth="1"/>
    <col min="6147" max="6147" width="11.7109375" style="133" customWidth="1"/>
    <col min="6148" max="6148" width="3.140625" style="133" bestFit="1" customWidth="1"/>
    <col min="6149" max="6149" width="11" style="133" bestFit="1" customWidth="1"/>
    <col min="6150" max="6150" width="34.42578125" style="133" customWidth="1"/>
    <col min="6151" max="6400" width="9.140625" style="133"/>
    <col min="6401" max="6401" width="11" style="133" bestFit="1" customWidth="1"/>
    <col min="6402" max="6402" width="40.42578125" style="133" customWidth="1"/>
    <col min="6403" max="6403" width="11.7109375" style="133" customWidth="1"/>
    <col min="6404" max="6404" width="3.140625" style="133" bestFit="1" customWidth="1"/>
    <col min="6405" max="6405" width="11" style="133" bestFit="1" customWidth="1"/>
    <col min="6406" max="6406" width="34.42578125" style="133" customWidth="1"/>
    <col min="6407" max="6656" width="9.140625" style="133"/>
    <col min="6657" max="6657" width="11" style="133" bestFit="1" customWidth="1"/>
    <col min="6658" max="6658" width="40.42578125" style="133" customWidth="1"/>
    <col min="6659" max="6659" width="11.7109375" style="133" customWidth="1"/>
    <col min="6660" max="6660" width="3.140625" style="133" bestFit="1" customWidth="1"/>
    <col min="6661" max="6661" width="11" style="133" bestFit="1" customWidth="1"/>
    <col min="6662" max="6662" width="34.42578125" style="133" customWidth="1"/>
    <col min="6663" max="6912" width="9.140625" style="133"/>
    <col min="6913" max="6913" width="11" style="133" bestFit="1" customWidth="1"/>
    <col min="6914" max="6914" width="40.42578125" style="133" customWidth="1"/>
    <col min="6915" max="6915" width="11.7109375" style="133" customWidth="1"/>
    <col min="6916" max="6916" width="3.140625" style="133" bestFit="1" customWidth="1"/>
    <col min="6917" max="6917" width="11" style="133" bestFit="1" customWidth="1"/>
    <col min="6918" max="6918" width="34.42578125" style="133" customWidth="1"/>
    <col min="6919" max="7168" width="9.140625" style="133"/>
    <col min="7169" max="7169" width="11" style="133" bestFit="1" customWidth="1"/>
    <col min="7170" max="7170" width="40.42578125" style="133" customWidth="1"/>
    <col min="7171" max="7171" width="11.7109375" style="133" customWidth="1"/>
    <col min="7172" max="7172" width="3.140625" style="133" bestFit="1" customWidth="1"/>
    <col min="7173" max="7173" width="11" style="133" bestFit="1" customWidth="1"/>
    <col min="7174" max="7174" width="34.42578125" style="133" customWidth="1"/>
    <col min="7175" max="7424" width="9.140625" style="133"/>
    <col min="7425" max="7425" width="11" style="133" bestFit="1" customWidth="1"/>
    <col min="7426" max="7426" width="40.42578125" style="133" customWidth="1"/>
    <col min="7427" max="7427" width="11.7109375" style="133" customWidth="1"/>
    <col min="7428" max="7428" width="3.140625" style="133" bestFit="1" customWidth="1"/>
    <col min="7429" max="7429" width="11" style="133" bestFit="1" customWidth="1"/>
    <col min="7430" max="7430" width="34.42578125" style="133" customWidth="1"/>
    <col min="7431" max="7680" width="9.140625" style="133"/>
    <col min="7681" max="7681" width="11" style="133" bestFit="1" customWidth="1"/>
    <col min="7682" max="7682" width="40.42578125" style="133" customWidth="1"/>
    <col min="7683" max="7683" width="11.7109375" style="133" customWidth="1"/>
    <col min="7684" max="7684" width="3.140625" style="133" bestFit="1" customWidth="1"/>
    <col min="7685" max="7685" width="11" style="133" bestFit="1" customWidth="1"/>
    <col min="7686" max="7686" width="34.42578125" style="133" customWidth="1"/>
    <col min="7687" max="7936" width="9.140625" style="133"/>
    <col min="7937" max="7937" width="11" style="133" bestFit="1" customWidth="1"/>
    <col min="7938" max="7938" width="40.42578125" style="133" customWidth="1"/>
    <col min="7939" max="7939" width="11.7109375" style="133" customWidth="1"/>
    <col min="7940" max="7940" width="3.140625" style="133" bestFit="1" customWidth="1"/>
    <col min="7941" max="7941" width="11" style="133" bestFit="1" customWidth="1"/>
    <col min="7942" max="7942" width="34.42578125" style="133" customWidth="1"/>
    <col min="7943" max="8192" width="9.140625" style="133"/>
    <col min="8193" max="8193" width="11" style="133" bestFit="1" customWidth="1"/>
    <col min="8194" max="8194" width="40.42578125" style="133" customWidth="1"/>
    <col min="8195" max="8195" width="11.7109375" style="133" customWidth="1"/>
    <col min="8196" max="8196" width="3.140625" style="133" bestFit="1" customWidth="1"/>
    <col min="8197" max="8197" width="11" style="133" bestFit="1" customWidth="1"/>
    <col min="8198" max="8198" width="34.42578125" style="133" customWidth="1"/>
    <col min="8199" max="8448" width="9.140625" style="133"/>
    <col min="8449" max="8449" width="11" style="133" bestFit="1" customWidth="1"/>
    <col min="8450" max="8450" width="40.42578125" style="133" customWidth="1"/>
    <col min="8451" max="8451" width="11.7109375" style="133" customWidth="1"/>
    <col min="8452" max="8452" width="3.140625" style="133" bestFit="1" customWidth="1"/>
    <col min="8453" max="8453" width="11" style="133" bestFit="1" customWidth="1"/>
    <col min="8454" max="8454" width="34.42578125" style="133" customWidth="1"/>
    <col min="8455" max="8704" width="9.140625" style="133"/>
    <col min="8705" max="8705" width="11" style="133" bestFit="1" customWidth="1"/>
    <col min="8706" max="8706" width="40.42578125" style="133" customWidth="1"/>
    <col min="8707" max="8707" width="11.7109375" style="133" customWidth="1"/>
    <col min="8708" max="8708" width="3.140625" style="133" bestFit="1" customWidth="1"/>
    <col min="8709" max="8709" width="11" style="133" bestFit="1" customWidth="1"/>
    <col min="8710" max="8710" width="34.42578125" style="133" customWidth="1"/>
    <col min="8711" max="8960" width="9.140625" style="133"/>
    <col min="8961" max="8961" width="11" style="133" bestFit="1" customWidth="1"/>
    <col min="8962" max="8962" width="40.42578125" style="133" customWidth="1"/>
    <col min="8963" max="8963" width="11.7109375" style="133" customWidth="1"/>
    <col min="8964" max="8964" width="3.140625" style="133" bestFit="1" customWidth="1"/>
    <col min="8965" max="8965" width="11" style="133" bestFit="1" customWidth="1"/>
    <col min="8966" max="8966" width="34.42578125" style="133" customWidth="1"/>
    <col min="8967" max="9216" width="9.140625" style="133"/>
    <col min="9217" max="9217" width="11" style="133" bestFit="1" customWidth="1"/>
    <col min="9218" max="9218" width="40.42578125" style="133" customWidth="1"/>
    <col min="9219" max="9219" width="11.7109375" style="133" customWidth="1"/>
    <col min="9220" max="9220" width="3.140625" style="133" bestFit="1" customWidth="1"/>
    <col min="9221" max="9221" width="11" style="133" bestFit="1" customWidth="1"/>
    <col min="9222" max="9222" width="34.42578125" style="133" customWidth="1"/>
    <col min="9223" max="9472" width="9.140625" style="133"/>
    <col min="9473" max="9473" width="11" style="133" bestFit="1" customWidth="1"/>
    <col min="9474" max="9474" width="40.42578125" style="133" customWidth="1"/>
    <col min="9475" max="9475" width="11.7109375" style="133" customWidth="1"/>
    <col min="9476" max="9476" width="3.140625" style="133" bestFit="1" customWidth="1"/>
    <col min="9477" max="9477" width="11" style="133" bestFit="1" customWidth="1"/>
    <col min="9478" max="9478" width="34.42578125" style="133" customWidth="1"/>
    <col min="9479" max="9728" width="9.140625" style="133"/>
    <col min="9729" max="9729" width="11" style="133" bestFit="1" customWidth="1"/>
    <col min="9730" max="9730" width="40.42578125" style="133" customWidth="1"/>
    <col min="9731" max="9731" width="11.7109375" style="133" customWidth="1"/>
    <col min="9732" max="9732" width="3.140625" style="133" bestFit="1" customWidth="1"/>
    <col min="9733" max="9733" width="11" style="133" bestFit="1" customWidth="1"/>
    <col min="9734" max="9734" width="34.42578125" style="133" customWidth="1"/>
    <col min="9735" max="9984" width="9.140625" style="133"/>
    <col min="9985" max="9985" width="11" style="133" bestFit="1" customWidth="1"/>
    <col min="9986" max="9986" width="40.42578125" style="133" customWidth="1"/>
    <col min="9987" max="9987" width="11.7109375" style="133" customWidth="1"/>
    <col min="9988" max="9988" width="3.140625" style="133" bestFit="1" customWidth="1"/>
    <col min="9989" max="9989" width="11" style="133" bestFit="1" customWidth="1"/>
    <col min="9990" max="9990" width="34.42578125" style="133" customWidth="1"/>
    <col min="9991" max="10240" width="9.140625" style="133"/>
    <col min="10241" max="10241" width="11" style="133" bestFit="1" customWidth="1"/>
    <col min="10242" max="10242" width="40.42578125" style="133" customWidth="1"/>
    <col min="10243" max="10243" width="11.7109375" style="133" customWidth="1"/>
    <col min="10244" max="10244" width="3.140625" style="133" bestFit="1" customWidth="1"/>
    <col min="10245" max="10245" width="11" style="133" bestFit="1" customWidth="1"/>
    <col min="10246" max="10246" width="34.42578125" style="133" customWidth="1"/>
    <col min="10247" max="10496" width="9.140625" style="133"/>
    <col min="10497" max="10497" width="11" style="133" bestFit="1" customWidth="1"/>
    <col min="10498" max="10498" width="40.42578125" style="133" customWidth="1"/>
    <col min="10499" max="10499" width="11.7109375" style="133" customWidth="1"/>
    <col min="10500" max="10500" width="3.140625" style="133" bestFit="1" customWidth="1"/>
    <col min="10501" max="10501" width="11" style="133" bestFit="1" customWidth="1"/>
    <col min="10502" max="10502" width="34.42578125" style="133" customWidth="1"/>
    <col min="10503" max="10752" width="9.140625" style="133"/>
    <col min="10753" max="10753" width="11" style="133" bestFit="1" customWidth="1"/>
    <col min="10754" max="10754" width="40.42578125" style="133" customWidth="1"/>
    <col min="10755" max="10755" width="11.7109375" style="133" customWidth="1"/>
    <col min="10756" max="10756" width="3.140625" style="133" bestFit="1" customWidth="1"/>
    <col min="10757" max="10757" width="11" style="133" bestFit="1" customWidth="1"/>
    <col min="10758" max="10758" width="34.42578125" style="133" customWidth="1"/>
    <col min="10759" max="11008" width="9.140625" style="133"/>
    <col min="11009" max="11009" width="11" style="133" bestFit="1" customWidth="1"/>
    <col min="11010" max="11010" width="40.42578125" style="133" customWidth="1"/>
    <col min="11011" max="11011" width="11.7109375" style="133" customWidth="1"/>
    <col min="11012" max="11012" width="3.140625" style="133" bestFit="1" customWidth="1"/>
    <col min="11013" max="11013" width="11" style="133" bestFit="1" customWidth="1"/>
    <col min="11014" max="11014" width="34.42578125" style="133" customWidth="1"/>
    <col min="11015" max="11264" width="9.140625" style="133"/>
    <col min="11265" max="11265" width="11" style="133" bestFit="1" customWidth="1"/>
    <col min="11266" max="11266" width="40.42578125" style="133" customWidth="1"/>
    <col min="11267" max="11267" width="11.7109375" style="133" customWidth="1"/>
    <col min="11268" max="11268" width="3.140625" style="133" bestFit="1" customWidth="1"/>
    <col min="11269" max="11269" width="11" style="133" bestFit="1" customWidth="1"/>
    <col min="11270" max="11270" width="34.42578125" style="133" customWidth="1"/>
    <col min="11271" max="11520" width="9.140625" style="133"/>
    <col min="11521" max="11521" width="11" style="133" bestFit="1" customWidth="1"/>
    <col min="11522" max="11522" width="40.42578125" style="133" customWidth="1"/>
    <col min="11523" max="11523" width="11.7109375" style="133" customWidth="1"/>
    <col min="11524" max="11524" width="3.140625" style="133" bestFit="1" customWidth="1"/>
    <col min="11525" max="11525" width="11" style="133" bestFit="1" customWidth="1"/>
    <col min="11526" max="11526" width="34.42578125" style="133" customWidth="1"/>
    <col min="11527" max="11776" width="9.140625" style="133"/>
    <col min="11777" max="11777" width="11" style="133" bestFit="1" customWidth="1"/>
    <col min="11778" max="11778" width="40.42578125" style="133" customWidth="1"/>
    <col min="11779" max="11779" width="11.7109375" style="133" customWidth="1"/>
    <col min="11780" max="11780" width="3.140625" style="133" bestFit="1" customWidth="1"/>
    <col min="11781" max="11781" width="11" style="133" bestFit="1" customWidth="1"/>
    <col min="11782" max="11782" width="34.42578125" style="133" customWidth="1"/>
    <col min="11783" max="12032" width="9.140625" style="133"/>
    <col min="12033" max="12033" width="11" style="133" bestFit="1" customWidth="1"/>
    <col min="12034" max="12034" width="40.42578125" style="133" customWidth="1"/>
    <col min="12035" max="12035" width="11.7109375" style="133" customWidth="1"/>
    <col min="12036" max="12036" width="3.140625" style="133" bestFit="1" customWidth="1"/>
    <col min="12037" max="12037" width="11" style="133" bestFit="1" customWidth="1"/>
    <col min="12038" max="12038" width="34.42578125" style="133" customWidth="1"/>
    <col min="12039" max="12288" width="9.140625" style="133"/>
    <col min="12289" max="12289" width="11" style="133" bestFit="1" customWidth="1"/>
    <col min="12290" max="12290" width="40.42578125" style="133" customWidth="1"/>
    <col min="12291" max="12291" width="11.7109375" style="133" customWidth="1"/>
    <col min="12292" max="12292" width="3.140625" style="133" bestFit="1" customWidth="1"/>
    <col min="12293" max="12293" width="11" style="133" bestFit="1" customWidth="1"/>
    <col min="12294" max="12294" width="34.42578125" style="133" customWidth="1"/>
    <col min="12295" max="12544" width="9.140625" style="133"/>
    <col min="12545" max="12545" width="11" style="133" bestFit="1" customWidth="1"/>
    <col min="12546" max="12546" width="40.42578125" style="133" customWidth="1"/>
    <col min="12547" max="12547" width="11.7109375" style="133" customWidth="1"/>
    <col min="12548" max="12548" width="3.140625" style="133" bestFit="1" customWidth="1"/>
    <col min="12549" max="12549" width="11" style="133" bestFit="1" customWidth="1"/>
    <col min="12550" max="12550" width="34.42578125" style="133" customWidth="1"/>
    <col min="12551" max="12800" width="9.140625" style="133"/>
    <col min="12801" max="12801" width="11" style="133" bestFit="1" customWidth="1"/>
    <col min="12802" max="12802" width="40.42578125" style="133" customWidth="1"/>
    <col min="12803" max="12803" width="11.7109375" style="133" customWidth="1"/>
    <col min="12804" max="12804" width="3.140625" style="133" bestFit="1" customWidth="1"/>
    <col min="12805" max="12805" width="11" style="133" bestFit="1" customWidth="1"/>
    <col min="12806" max="12806" width="34.42578125" style="133" customWidth="1"/>
    <col min="12807" max="13056" width="9.140625" style="133"/>
    <col min="13057" max="13057" width="11" style="133" bestFit="1" customWidth="1"/>
    <col min="13058" max="13058" width="40.42578125" style="133" customWidth="1"/>
    <col min="13059" max="13059" width="11.7109375" style="133" customWidth="1"/>
    <col min="13060" max="13060" width="3.140625" style="133" bestFit="1" customWidth="1"/>
    <col min="13061" max="13061" width="11" style="133" bestFit="1" customWidth="1"/>
    <col min="13062" max="13062" width="34.42578125" style="133" customWidth="1"/>
    <col min="13063" max="13312" width="9.140625" style="133"/>
    <col min="13313" max="13313" width="11" style="133" bestFit="1" customWidth="1"/>
    <col min="13314" max="13314" width="40.42578125" style="133" customWidth="1"/>
    <col min="13315" max="13315" width="11.7109375" style="133" customWidth="1"/>
    <col min="13316" max="13316" width="3.140625" style="133" bestFit="1" customWidth="1"/>
    <col min="13317" max="13317" width="11" style="133" bestFit="1" customWidth="1"/>
    <col min="13318" max="13318" width="34.42578125" style="133" customWidth="1"/>
    <col min="13319" max="13568" width="9.140625" style="133"/>
    <col min="13569" max="13569" width="11" style="133" bestFit="1" customWidth="1"/>
    <col min="13570" max="13570" width="40.42578125" style="133" customWidth="1"/>
    <col min="13571" max="13571" width="11.7109375" style="133" customWidth="1"/>
    <col min="13572" max="13572" width="3.140625" style="133" bestFit="1" customWidth="1"/>
    <col min="13573" max="13573" width="11" style="133" bestFit="1" customWidth="1"/>
    <col min="13574" max="13574" width="34.42578125" style="133" customWidth="1"/>
    <col min="13575" max="13824" width="9.140625" style="133"/>
    <col min="13825" max="13825" width="11" style="133" bestFit="1" customWidth="1"/>
    <col min="13826" max="13826" width="40.42578125" style="133" customWidth="1"/>
    <col min="13827" max="13827" width="11.7109375" style="133" customWidth="1"/>
    <col min="13828" max="13828" width="3.140625" style="133" bestFit="1" customWidth="1"/>
    <col min="13829" max="13829" width="11" style="133" bestFit="1" customWidth="1"/>
    <col min="13830" max="13830" width="34.42578125" style="133" customWidth="1"/>
    <col min="13831" max="14080" width="9.140625" style="133"/>
    <col min="14081" max="14081" width="11" style="133" bestFit="1" customWidth="1"/>
    <col min="14082" max="14082" width="40.42578125" style="133" customWidth="1"/>
    <col min="14083" max="14083" width="11.7109375" style="133" customWidth="1"/>
    <col min="14084" max="14084" width="3.140625" style="133" bestFit="1" customWidth="1"/>
    <col min="14085" max="14085" width="11" style="133" bestFit="1" customWidth="1"/>
    <col min="14086" max="14086" width="34.42578125" style="133" customWidth="1"/>
    <col min="14087" max="14336" width="9.140625" style="133"/>
    <col min="14337" max="14337" width="11" style="133" bestFit="1" customWidth="1"/>
    <col min="14338" max="14338" width="40.42578125" style="133" customWidth="1"/>
    <col min="14339" max="14339" width="11.7109375" style="133" customWidth="1"/>
    <col min="14340" max="14340" width="3.140625" style="133" bestFit="1" customWidth="1"/>
    <col min="14341" max="14341" width="11" style="133" bestFit="1" customWidth="1"/>
    <col min="14342" max="14342" width="34.42578125" style="133" customWidth="1"/>
    <col min="14343" max="14592" width="9.140625" style="133"/>
    <col min="14593" max="14593" width="11" style="133" bestFit="1" customWidth="1"/>
    <col min="14594" max="14594" width="40.42578125" style="133" customWidth="1"/>
    <col min="14595" max="14595" width="11.7109375" style="133" customWidth="1"/>
    <col min="14596" max="14596" width="3.140625" style="133" bestFit="1" customWidth="1"/>
    <col min="14597" max="14597" width="11" style="133" bestFit="1" customWidth="1"/>
    <col min="14598" max="14598" width="34.42578125" style="133" customWidth="1"/>
    <col min="14599" max="14848" width="9.140625" style="133"/>
    <col min="14849" max="14849" width="11" style="133" bestFit="1" customWidth="1"/>
    <col min="14850" max="14850" width="40.42578125" style="133" customWidth="1"/>
    <col min="14851" max="14851" width="11.7109375" style="133" customWidth="1"/>
    <col min="14852" max="14852" width="3.140625" style="133" bestFit="1" customWidth="1"/>
    <col min="14853" max="14853" width="11" style="133" bestFit="1" customWidth="1"/>
    <col min="14854" max="14854" width="34.42578125" style="133" customWidth="1"/>
    <col min="14855" max="15104" width="9.140625" style="133"/>
    <col min="15105" max="15105" width="11" style="133" bestFit="1" customWidth="1"/>
    <col min="15106" max="15106" width="40.42578125" style="133" customWidth="1"/>
    <col min="15107" max="15107" width="11.7109375" style="133" customWidth="1"/>
    <col min="15108" max="15108" width="3.140625" style="133" bestFit="1" customWidth="1"/>
    <col min="15109" max="15109" width="11" style="133" bestFit="1" customWidth="1"/>
    <col min="15110" max="15110" width="34.42578125" style="133" customWidth="1"/>
    <col min="15111" max="15360" width="9.140625" style="133"/>
    <col min="15361" max="15361" width="11" style="133" bestFit="1" customWidth="1"/>
    <col min="15362" max="15362" width="40.42578125" style="133" customWidth="1"/>
    <col min="15363" max="15363" width="11.7109375" style="133" customWidth="1"/>
    <col min="15364" max="15364" width="3.140625" style="133" bestFit="1" customWidth="1"/>
    <col min="15365" max="15365" width="11" style="133" bestFit="1" customWidth="1"/>
    <col min="15366" max="15366" width="34.42578125" style="133" customWidth="1"/>
    <col min="15367" max="15616" width="9.140625" style="133"/>
    <col min="15617" max="15617" width="11" style="133" bestFit="1" customWidth="1"/>
    <col min="15618" max="15618" width="40.42578125" style="133" customWidth="1"/>
    <col min="15619" max="15619" width="11.7109375" style="133" customWidth="1"/>
    <col min="15620" max="15620" width="3.140625" style="133" bestFit="1" customWidth="1"/>
    <col min="15621" max="15621" width="11" style="133" bestFit="1" customWidth="1"/>
    <col min="15622" max="15622" width="34.42578125" style="133" customWidth="1"/>
    <col min="15623" max="15872" width="9.140625" style="133"/>
    <col min="15873" max="15873" width="11" style="133" bestFit="1" customWidth="1"/>
    <col min="15874" max="15874" width="40.42578125" style="133" customWidth="1"/>
    <col min="15875" max="15875" width="11.7109375" style="133" customWidth="1"/>
    <col min="15876" max="15876" width="3.140625" style="133" bestFit="1" customWidth="1"/>
    <col min="15877" max="15877" width="11" style="133" bestFit="1" customWidth="1"/>
    <col min="15878" max="15878" width="34.42578125" style="133" customWidth="1"/>
    <col min="15879" max="16128" width="9.140625" style="133"/>
    <col min="16129" max="16129" width="11" style="133" bestFit="1" customWidth="1"/>
    <col min="16130" max="16130" width="40.42578125" style="133" customWidth="1"/>
    <col min="16131" max="16131" width="11.7109375" style="133" customWidth="1"/>
    <col min="16132" max="16132" width="3.140625" style="133" bestFit="1" customWidth="1"/>
    <col min="16133" max="16133" width="11" style="133" bestFit="1" customWidth="1"/>
    <col min="16134" max="16134" width="34.42578125" style="133" customWidth="1"/>
    <col min="16135" max="16384" width="9.140625" style="133"/>
  </cols>
  <sheetData>
    <row r="1" spans="1:8" s="121" customFormat="1" ht="15.75" x14ac:dyDescent="0.25">
      <c r="A1" s="335" t="s">
        <v>175</v>
      </c>
      <c r="B1" s="335"/>
      <c r="C1" s="335"/>
      <c r="D1" s="335"/>
      <c r="E1" s="120"/>
      <c r="F1" s="120"/>
      <c r="H1" s="122"/>
    </row>
    <row r="2" spans="1:8" s="124" customFormat="1" x14ac:dyDescent="0.2">
      <c r="A2" s="123"/>
      <c r="B2" s="123"/>
      <c r="C2" s="123"/>
      <c r="D2" s="123"/>
      <c r="E2" s="123"/>
      <c r="F2" s="123"/>
      <c r="H2" s="125"/>
    </row>
    <row r="3" spans="1:8" s="127" customFormat="1" x14ac:dyDescent="0.2">
      <c r="A3" s="126" t="s">
        <v>176</v>
      </c>
      <c r="B3" s="336" t="s">
        <v>177</v>
      </c>
      <c r="C3" s="336"/>
      <c r="D3" s="336"/>
      <c r="E3" s="123"/>
    </row>
    <row r="4" spans="1:8" s="127" customFormat="1" x14ac:dyDescent="0.2">
      <c r="A4" s="126" t="s">
        <v>178</v>
      </c>
      <c r="B4" s="336" t="s">
        <v>179</v>
      </c>
      <c r="C4" s="336"/>
      <c r="D4" s="336"/>
      <c r="E4" s="123"/>
    </row>
    <row r="5" spans="1:8" s="127" customFormat="1" x14ac:dyDescent="0.2">
      <c r="A5" s="126" t="s">
        <v>180</v>
      </c>
      <c r="B5" s="128"/>
      <c r="C5" s="128"/>
      <c r="D5" s="128"/>
      <c r="E5" s="123"/>
    </row>
    <row r="6" spans="1:8" s="127" customFormat="1" x14ac:dyDescent="0.2">
      <c r="A6" s="129"/>
      <c r="B6" s="130"/>
      <c r="C6" s="131"/>
      <c r="D6" s="132"/>
      <c r="E6" s="123"/>
    </row>
    <row r="7" spans="1:8" x14ac:dyDescent="0.2">
      <c r="A7" s="330" t="s">
        <v>181</v>
      </c>
      <c r="B7" s="330"/>
      <c r="C7" s="330"/>
      <c r="D7" s="330"/>
    </row>
    <row r="8" spans="1:8" s="134" customFormat="1" ht="8.1" customHeight="1" x14ac:dyDescent="0.2">
      <c r="B8" s="135"/>
      <c r="C8" s="136"/>
      <c r="D8" s="137"/>
    </row>
    <row r="9" spans="1:8" x14ac:dyDescent="0.2">
      <c r="B9" s="138" t="s">
        <v>182</v>
      </c>
      <c r="C9" s="136"/>
      <c r="D9" s="137"/>
    </row>
    <row r="10" spans="1:8" ht="8.1" customHeight="1" x14ac:dyDescent="0.2">
      <c r="B10" s="139"/>
      <c r="C10" s="136"/>
      <c r="D10" s="137"/>
    </row>
    <row r="11" spans="1:8" x14ac:dyDescent="0.2">
      <c r="A11" s="330" t="s">
        <v>183</v>
      </c>
      <c r="B11" s="330"/>
      <c r="C11" s="330"/>
      <c r="D11" s="330"/>
    </row>
    <row r="12" spans="1:8" s="134" customFormat="1" ht="6" x14ac:dyDescent="0.15">
      <c r="B12" s="140"/>
      <c r="C12" s="141"/>
      <c r="D12" s="142"/>
    </row>
    <row r="13" spans="1:8" x14ac:dyDescent="0.2">
      <c r="B13" s="138" t="s">
        <v>184</v>
      </c>
      <c r="C13" s="141"/>
      <c r="D13" s="142"/>
    </row>
    <row r="14" spans="1:8" ht="8.1" customHeight="1" x14ac:dyDescent="0.2">
      <c r="B14" s="143"/>
      <c r="D14" s="144"/>
      <c r="E14" s="143"/>
      <c r="F14" s="143"/>
    </row>
    <row r="15" spans="1:8" x14ac:dyDescent="0.2">
      <c r="A15" s="330" t="s">
        <v>185</v>
      </c>
      <c r="B15" s="330"/>
      <c r="C15" s="330"/>
      <c r="D15" s="330"/>
    </row>
    <row r="16" spans="1:8" s="134" customFormat="1" ht="6" x14ac:dyDescent="0.15">
      <c r="B16" s="140"/>
      <c r="C16" s="141"/>
      <c r="D16" s="145"/>
    </row>
    <row r="17" spans="1:6" x14ac:dyDescent="0.2">
      <c r="A17" s="146"/>
      <c r="B17" s="147" t="s">
        <v>186</v>
      </c>
      <c r="C17" s="148">
        <v>4</v>
      </c>
      <c r="D17" s="149" t="s">
        <v>187</v>
      </c>
      <c r="F17" s="150"/>
    </row>
    <row r="18" spans="1:6" x14ac:dyDescent="0.2">
      <c r="A18" s="146"/>
      <c r="B18" s="147" t="s">
        <v>188</v>
      </c>
      <c r="C18" s="148">
        <v>0.7</v>
      </c>
      <c r="D18" s="149" t="s">
        <v>187</v>
      </c>
      <c r="F18" s="150"/>
    </row>
    <row r="19" spans="1:6" x14ac:dyDescent="0.2">
      <c r="A19" s="146"/>
      <c r="B19" s="147" t="s">
        <v>189</v>
      </c>
      <c r="C19" s="148">
        <v>0.42</v>
      </c>
      <c r="D19" s="149" t="s">
        <v>187</v>
      </c>
      <c r="F19" s="150"/>
    </row>
    <row r="20" spans="1:6" x14ac:dyDescent="0.2">
      <c r="A20" s="146"/>
      <c r="B20" s="147" t="s">
        <v>190</v>
      </c>
      <c r="C20" s="148">
        <v>0.63</v>
      </c>
      <c r="D20" s="149" t="s">
        <v>187</v>
      </c>
      <c r="F20" s="150"/>
    </row>
    <row r="21" spans="1:6" ht="8.1" customHeight="1" x14ac:dyDescent="0.2">
      <c r="A21" s="151"/>
      <c r="B21" s="152"/>
      <c r="C21" s="153"/>
      <c r="D21" s="154"/>
      <c r="E21" s="151"/>
      <c r="F21" s="150"/>
    </row>
    <row r="22" spans="1:6" x14ac:dyDescent="0.2">
      <c r="A22" s="146"/>
      <c r="B22" s="147" t="s">
        <v>191</v>
      </c>
      <c r="C22" s="148">
        <v>5.5</v>
      </c>
      <c r="D22" s="149" t="s">
        <v>187</v>
      </c>
      <c r="F22" s="150"/>
    </row>
    <row r="23" spans="1:6" ht="8.1" customHeight="1" x14ac:dyDescent="0.2">
      <c r="C23" s="155"/>
      <c r="D23" s="156"/>
    </row>
    <row r="24" spans="1:6" ht="12.75" customHeight="1" x14ac:dyDescent="0.2">
      <c r="A24" s="330" t="s">
        <v>192</v>
      </c>
      <c r="B24" s="330"/>
      <c r="C24" s="330"/>
      <c r="D24" s="330"/>
    </row>
    <row r="25" spans="1:6" ht="8.1" customHeight="1" x14ac:dyDescent="0.2">
      <c r="A25" s="157"/>
      <c r="B25" s="157"/>
      <c r="C25" s="157"/>
      <c r="D25" s="157"/>
    </row>
    <row r="26" spans="1:6" ht="12.75" customHeight="1" x14ac:dyDescent="0.2">
      <c r="A26" s="157"/>
      <c r="B26" s="158" t="s">
        <v>193</v>
      </c>
      <c r="C26" s="159">
        <f>C29+C31+C32+C33</f>
        <v>13.15</v>
      </c>
      <c r="D26" s="160" t="s">
        <v>187</v>
      </c>
    </row>
    <row r="27" spans="1:6" ht="12.75" customHeight="1" x14ac:dyDescent="0.2">
      <c r="A27" s="157"/>
      <c r="B27" s="157"/>
      <c r="C27" s="157"/>
      <c r="D27" s="157"/>
    </row>
    <row r="28" spans="1:6" ht="13.5" customHeight="1" x14ac:dyDescent="0.2">
      <c r="A28" s="157"/>
      <c r="B28" s="161" t="s">
        <v>194</v>
      </c>
      <c r="C28" s="148">
        <v>100</v>
      </c>
      <c r="D28" s="160" t="s">
        <v>187</v>
      </c>
    </row>
    <row r="29" spans="1:6" ht="12.75" customHeight="1" x14ac:dyDescent="0.2">
      <c r="A29" s="157"/>
      <c r="B29" s="161" t="s">
        <v>195</v>
      </c>
      <c r="C29" s="148">
        <v>5</v>
      </c>
      <c r="D29" s="160" t="s">
        <v>187</v>
      </c>
    </row>
    <row r="30" spans="1:6" s="134" customFormat="1" ht="8.1" customHeight="1" x14ac:dyDescent="0.15">
      <c r="B30" s="140"/>
      <c r="C30" s="162"/>
      <c r="D30" s="163"/>
    </row>
    <row r="31" spans="1:6" x14ac:dyDescent="0.2">
      <c r="B31" s="161" t="s">
        <v>196</v>
      </c>
      <c r="C31" s="164">
        <v>3</v>
      </c>
      <c r="D31" s="165" t="s">
        <v>187</v>
      </c>
      <c r="F31" s="150"/>
    </row>
    <row r="32" spans="1:6" ht="12.75" customHeight="1" x14ac:dyDescent="0.2">
      <c r="B32" s="161" t="s">
        <v>197</v>
      </c>
      <c r="C32" s="164">
        <v>0.65</v>
      </c>
      <c r="D32" s="165" t="s">
        <v>187</v>
      </c>
    </row>
    <row r="33" spans="1:6" ht="12.75" customHeight="1" x14ac:dyDescent="0.2">
      <c r="B33" s="161" t="s">
        <v>198</v>
      </c>
      <c r="C33" s="164">
        <f>IF(B9="Com Desoneração",4.5,0)</f>
        <v>4.5</v>
      </c>
      <c r="D33" s="149" t="s">
        <v>187</v>
      </c>
    </row>
    <row r="34" spans="1:6" ht="8.1" customHeight="1" x14ac:dyDescent="0.2">
      <c r="D34" s="144"/>
    </row>
    <row r="35" spans="1:6" x14ac:dyDescent="0.2">
      <c r="A35" s="330" t="s">
        <v>199</v>
      </c>
      <c r="B35" s="330"/>
      <c r="C35" s="330"/>
      <c r="D35" s="330"/>
    </row>
    <row r="36" spans="1:6" s="134" customFormat="1" ht="6" x14ac:dyDescent="0.15">
      <c r="B36" s="140"/>
      <c r="C36" s="141"/>
      <c r="D36" s="142"/>
    </row>
    <row r="37" spans="1:6" ht="12.75" customHeight="1" x14ac:dyDescent="0.2">
      <c r="B37" s="155" t="s">
        <v>200</v>
      </c>
      <c r="C37" s="331">
        <f>ROUND((((1+($C$17/100)+($C$19/100)+($C$18/100))*(1+($C$20/100))*(1+($C$22/100)))/(1-$C$26/100)-1),4)</f>
        <v>0.28499999999999998</v>
      </c>
      <c r="D37" s="332"/>
      <c r="E37" s="166" t="str">
        <f>[1]Auxiliar!A17</f>
        <v>Atende</v>
      </c>
      <c r="F37" s="167"/>
    </row>
    <row r="38" spans="1:6" ht="12.75" customHeight="1" x14ac:dyDescent="0.2">
      <c r="B38" s="143" t="s">
        <v>201</v>
      </c>
      <c r="C38" s="333"/>
      <c r="D38" s="334"/>
      <c r="F38" s="168"/>
    </row>
    <row r="39" spans="1:6" x14ac:dyDescent="0.2">
      <c r="C39" s="169"/>
    </row>
    <row r="40" spans="1:6" x14ac:dyDescent="0.2">
      <c r="A40" s="171" t="s">
        <v>202</v>
      </c>
    </row>
    <row r="41" spans="1:6" x14ac:dyDescent="0.2">
      <c r="A41" s="171" t="str">
        <f>CONCATENATE("do ISS para ", B13," é de ",C28," %",", com a respectiva alíquota de ",C29,"  %")</f>
        <v>do ISS para Edificações é de 100 %, com a respectiva alíquota de 5  %</v>
      </c>
    </row>
    <row r="42" spans="1:6" x14ac:dyDescent="0.2">
      <c r="A42" s="171"/>
    </row>
    <row r="43" spans="1:6" x14ac:dyDescent="0.2">
      <c r="A43" s="172" t="s">
        <v>203</v>
      </c>
      <c r="B43" s="173"/>
      <c r="C43" s="174"/>
      <c r="D43" s="174"/>
    </row>
    <row r="44" spans="1:6" x14ac:dyDescent="0.2">
      <c r="A44" s="172" t="str">
        <f>CONCATENATE("elaboração do orçamento foi ",B9,", e que esta é a alternativa mais adequada para ")</f>
        <v xml:space="preserve">elaboração do orçamento foi Com Desoneração, e que esta é a alternativa mais adequada para </v>
      </c>
      <c r="C44" s="174"/>
      <c r="D44" s="174"/>
    </row>
    <row r="45" spans="1:6" x14ac:dyDescent="0.2">
      <c r="A45" s="172" t="s">
        <v>204</v>
      </c>
      <c r="C45" s="174"/>
      <c r="D45" s="174"/>
    </row>
    <row r="49" spans="1:4" x14ac:dyDescent="0.2">
      <c r="A49" s="146" t="s">
        <v>205</v>
      </c>
      <c r="B49" s="175" t="s">
        <v>206</v>
      </c>
    </row>
    <row r="50" spans="1:4" x14ac:dyDescent="0.2">
      <c r="A50" s="146" t="s">
        <v>207</v>
      </c>
      <c r="B50" s="176" t="s">
        <v>208</v>
      </c>
    </row>
    <row r="53" spans="1:4" x14ac:dyDescent="0.2">
      <c r="C53" s="133"/>
      <c r="D53" s="133"/>
    </row>
    <row r="55" spans="1:4" x14ac:dyDescent="0.2">
      <c r="B55" s="175" t="s">
        <v>209</v>
      </c>
    </row>
    <row r="56" spans="1:4" x14ac:dyDescent="0.2">
      <c r="A56" s="146" t="s">
        <v>210</v>
      </c>
      <c r="B56" s="176" t="s">
        <v>211</v>
      </c>
    </row>
    <row r="57" spans="1:4" x14ac:dyDescent="0.2">
      <c r="A57" s="146" t="s">
        <v>212</v>
      </c>
      <c r="B57" s="176" t="s">
        <v>213</v>
      </c>
    </row>
  </sheetData>
  <sheetProtection selectLockedCells="1" autoFilter="0"/>
  <protectedRanges>
    <protectedRange sqref="C17:C20" name="Intervalo1"/>
    <protectedRange sqref="C21:C22 C31:C33" name="Intervalo2"/>
  </protectedRanges>
  <mergeCells count="9">
    <mergeCell ref="A24:D24"/>
    <mergeCell ref="A35:D35"/>
    <mergeCell ref="C37:D38"/>
    <mergeCell ref="A1:D1"/>
    <mergeCell ref="B3:D3"/>
    <mergeCell ref="B4:D4"/>
    <mergeCell ref="A7:D7"/>
    <mergeCell ref="A11:D11"/>
    <mergeCell ref="A15:D15"/>
  </mergeCells>
  <conditionalFormatting sqref="E37:F37">
    <cfRule type="cellIs" dxfId="20" priority="1" stopIfTrue="1" operator="equal">
      <formula>"Atende"</formula>
    </cfRule>
  </conditionalFormatting>
  <dataValidations count="4">
    <dataValidation type="decimal" allowBlank="1" showInputMessage="1" showErrorMessage="1" errorTitle="Atenção" error="O valor deve estar entre 0 e 100"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0</formula1>
      <formula2>100</formula2>
    </dataValidation>
    <dataValidation type="decimal" allowBlank="1" showInputMessage="1" showErrorMessage="1" errorTitle="Atenção" error="O valor deve estar entre 2%  e  5%" sqref="C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C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C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C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C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C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C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C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C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C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C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C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C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C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C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formula1>2</formula1>
      <formula2>5</formula2>
    </dataValidation>
    <dataValidation type="list" allowBlank="1" showInputMessage="1" showErrorMessage="1" sqref="B9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formula1>"Com Desoneração, Sem Desoneração"</formula1>
    </dataValidation>
    <dataValidation type="list" allowBlank="1" showInputMessage="1" showErrorMessage="1" sqref="B13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49 IX65549 ST65549 ACP65549 AML65549 AWH65549 BGD65549 BPZ65549 BZV65549 CJR65549 CTN65549 DDJ65549 DNF65549 DXB65549 EGX65549 EQT65549 FAP65549 FKL65549 FUH65549 GED65549 GNZ65549 GXV65549 HHR65549 HRN65549 IBJ65549 ILF65549 IVB65549 JEX65549 JOT65549 JYP65549 KIL65549 KSH65549 LCD65549 LLZ65549 LVV65549 MFR65549 MPN65549 MZJ65549 NJF65549 NTB65549 OCX65549 OMT65549 OWP65549 PGL65549 PQH65549 QAD65549 QJZ65549 QTV65549 RDR65549 RNN65549 RXJ65549 SHF65549 SRB65549 TAX65549 TKT65549 TUP65549 UEL65549 UOH65549 UYD65549 VHZ65549 VRV65549 WBR65549 WLN65549 WVJ65549 B131085 IX131085 ST131085 ACP131085 AML131085 AWH131085 BGD131085 BPZ131085 BZV131085 CJR131085 CTN131085 DDJ131085 DNF131085 DXB131085 EGX131085 EQT131085 FAP131085 FKL131085 FUH131085 GED131085 GNZ131085 GXV131085 HHR131085 HRN131085 IBJ131085 ILF131085 IVB131085 JEX131085 JOT131085 JYP131085 KIL131085 KSH131085 LCD131085 LLZ131085 LVV131085 MFR131085 MPN131085 MZJ131085 NJF131085 NTB131085 OCX131085 OMT131085 OWP131085 PGL131085 PQH131085 QAD131085 QJZ131085 QTV131085 RDR131085 RNN131085 RXJ131085 SHF131085 SRB131085 TAX131085 TKT131085 TUP131085 UEL131085 UOH131085 UYD131085 VHZ131085 VRV131085 WBR131085 WLN131085 WVJ131085 B196621 IX196621 ST196621 ACP196621 AML196621 AWH196621 BGD196621 BPZ196621 BZV196621 CJR196621 CTN196621 DDJ196621 DNF196621 DXB196621 EGX196621 EQT196621 FAP196621 FKL196621 FUH196621 GED196621 GNZ196621 GXV196621 HHR196621 HRN196621 IBJ196621 ILF196621 IVB196621 JEX196621 JOT196621 JYP196621 KIL196621 KSH196621 LCD196621 LLZ196621 LVV196621 MFR196621 MPN196621 MZJ196621 NJF196621 NTB196621 OCX196621 OMT196621 OWP196621 PGL196621 PQH196621 QAD196621 QJZ196621 QTV196621 RDR196621 RNN196621 RXJ196621 SHF196621 SRB196621 TAX196621 TKT196621 TUP196621 UEL196621 UOH196621 UYD196621 VHZ196621 VRV196621 WBR196621 WLN196621 WVJ196621 B262157 IX262157 ST262157 ACP262157 AML262157 AWH262157 BGD262157 BPZ262157 BZV262157 CJR262157 CTN262157 DDJ262157 DNF262157 DXB262157 EGX262157 EQT262157 FAP262157 FKL262157 FUH262157 GED262157 GNZ262157 GXV262157 HHR262157 HRN262157 IBJ262157 ILF262157 IVB262157 JEX262157 JOT262157 JYP262157 KIL262157 KSH262157 LCD262157 LLZ262157 LVV262157 MFR262157 MPN262157 MZJ262157 NJF262157 NTB262157 OCX262157 OMT262157 OWP262157 PGL262157 PQH262157 QAD262157 QJZ262157 QTV262157 RDR262157 RNN262157 RXJ262157 SHF262157 SRB262157 TAX262157 TKT262157 TUP262157 UEL262157 UOH262157 UYD262157 VHZ262157 VRV262157 WBR262157 WLN262157 WVJ262157 B327693 IX327693 ST327693 ACP327693 AML327693 AWH327693 BGD327693 BPZ327693 BZV327693 CJR327693 CTN327693 DDJ327693 DNF327693 DXB327693 EGX327693 EQT327693 FAP327693 FKL327693 FUH327693 GED327693 GNZ327693 GXV327693 HHR327693 HRN327693 IBJ327693 ILF327693 IVB327693 JEX327693 JOT327693 JYP327693 KIL327693 KSH327693 LCD327693 LLZ327693 LVV327693 MFR327693 MPN327693 MZJ327693 NJF327693 NTB327693 OCX327693 OMT327693 OWP327693 PGL327693 PQH327693 QAD327693 QJZ327693 QTV327693 RDR327693 RNN327693 RXJ327693 SHF327693 SRB327693 TAX327693 TKT327693 TUP327693 UEL327693 UOH327693 UYD327693 VHZ327693 VRV327693 WBR327693 WLN327693 WVJ327693 B393229 IX393229 ST393229 ACP393229 AML393229 AWH393229 BGD393229 BPZ393229 BZV393229 CJR393229 CTN393229 DDJ393229 DNF393229 DXB393229 EGX393229 EQT393229 FAP393229 FKL393229 FUH393229 GED393229 GNZ393229 GXV393229 HHR393229 HRN393229 IBJ393229 ILF393229 IVB393229 JEX393229 JOT393229 JYP393229 KIL393229 KSH393229 LCD393229 LLZ393229 LVV393229 MFR393229 MPN393229 MZJ393229 NJF393229 NTB393229 OCX393229 OMT393229 OWP393229 PGL393229 PQH393229 QAD393229 QJZ393229 QTV393229 RDR393229 RNN393229 RXJ393229 SHF393229 SRB393229 TAX393229 TKT393229 TUP393229 UEL393229 UOH393229 UYD393229 VHZ393229 VRV393229 WBR393229 WLN393229 WVJ393229 B458765 IX458765 ST458765 ACP458765 AML458765 AWH458765 BGD458765 BPZ458765 BZV458765 CJR458765 CTN458765 DDJ458765 DNF458765 DXB458765 EGX458765 EQT458765 FAP458765 FKL458765 FUH458765 GED458765 GNZ458765 GXV458765 HHR458765 HRN458765 IBJ458765 ILF458765 IVB458765 JEX458765 JOT458765 JYP458765 KIL458765 KSH458765 LCD458765 LLZ458765 LVV458765 MFR458765 MPN458765 MZJ458765 NJF458765 NTB458765 OCX458765 OMT458765 OWP458765 PGL458765 PQH458765 QAD458765 QJZ458765 QTV458765 RDR458765 RNN458765 RXJ458765 SHF458765 SRB458765 TAX458765 TKT458765 TUP458765 UEL458765 UOH458765 UYD458765 VHZ458765 VRV458765 WBR458765 WLN458765 WVJ458765 B524301 IX524301 ST524301 ACP524301 AML524301 AWH524301 BGD524301 BPZ524301 BZV524301 CJR524301 CTN524301 DDJ524301 DNF524301 DXB524301 EGX524301 EQT524301 FAP524301 FKL524301 FUH524301 GED524301 GNZ524301 GXV524301 HHR524301 HRN524301 IBJ524301 ILF524301 IVB524301 JEX524301 JOT524301 JYP524301 KIL524301 KSH524301 LCD524301 LLZ524301 LVV524301 MFR524301 MPN524301 MZJ524301 NJF524301 NTB524301 OCX524301 OMT524301 OWP524301 PGL524301 PQH524301 QAD524301 QJZ524301 QTV524301 RDR524301 RNN524301 RXJ524301 SHF524301 SRB524301 TAX524301 TKT524301 TUP524301 UEL524301 UOH524301 UYD524301 VHZ524301 VRV524301 WBR524301 WLN524301 WVJ524301 B589837 IX589837 ST589837 ACP589837 AML589837 AWH589837 BGD589837 BPZ589837 BZV589837 CJR589837 CTN589837 DDJ589837 DNF589837 DXB589837 EGX589837 EQT589837 FAP589837 FKL589837 FUH589837 GED589837 GNZ589837 GXV589837 HHR589837 HRN589837 IBJ589837 ILF589837 IVB589837 JEX589837 JOT589837 JYP589837 KIL589837 KSH589837 LCD589837 LLZ589837 LVV589837 MFR589837 MPN589837 MZJ589837 NJF589837 NTB589837 OCX589837 OMT589837 OWP589837 PGL589837 PQH589837 QAD589837 QJZ589837 QTV589837 RDR589837 RNN589837 RXJ589837 SHF589837 SRB589837 TAX589837 TKT589837 TUP589837 UEL589837 UOH589837 UYD589837 VHZ589837 VRV589837 WBR589837 WLN589837 WVJ589837 B655373 IX655373 ST655373 ACP655373 AML655373 AWH655373 BGD655373 BPZ655373 BZV655373 CJR655373 CTN655373 DDJ655373 DNF655373 DXB655373 EGX655373 EQT655373 FAP655373 FKL655373 FUH655373 GED655373 GNZ655373 GXV655373 HHR655373 HRN655373 IBJ655373 ILF655373 IVB655373 JEX655373 JOT655373 JYP655373 KIL655373 KSH655373 LCD655373 LLZ655373 LVV655373 MFR655373 MPN655373 MZJ655373 NJF655373 NTB655373 OCX655373 OMT655373 OWP655373 PGL655373 PQH655373 QAD655373 QJZ655373 QTV655373 RDR655373 RNN655373 RXJ655373 SHF655373 SRB655373 TAX655373 TKT655373 TUP655373 UEL655373 UOH655373 UYD655373 VHZ655373 VRV655373 WBR655373 WLN655373 WVJ655373 B720909 IX720909 ST720909 ACP720909 AML720909 AWH720909 BGD720909 BPZ720909 BZV720909 CJR720909 CTN720909 DDJ720909 DNF720909 DXB720909 EGX720909 EQT720909 FAP720909 FKL720909 FUH720909 GED720909 GNZ720909 GXV720909 HHR720909 HRN720909 IBJ720909 ILF720909 IVB720909 JEX720909 JOT720909 JYP720909 KIL720909 KSH720909 LCD720909 LLZ720909 LVV720909 MFR720909 MPN720909 MZJ720909 NJF720909 NTB720909 OCX720909 OMT720909 OWP720909 PGL720909 PQH720909 QAD720909 QJZ720909 QTV720909 RDR720909 RNN720909 RXJ720909 SHF720909 SRB720909 TAX720909 TKT720909 TUP720909 UEL720909 UOH720909 UYD720909 VHZ720909 VRV720909 WBR720909 WLN720909 WVJ720909 B786445 IX786445 ST786445 ACP786445 AML786445 AWH786445 BGD786445 BPZ786445 BZV786445 CJR786445 CTN786445 DDJ786445 DNF786445 DXB786445 EGX786445 EQT786445 FAP786445 FKL786445 FUH786445 GED786445 GNZ786445 GXV786445 HHR786445 HRN786445 IBJ786445 ILF786445 IVB786445 JEX786445 JOT786445 JYP786445 KIL786445 KSH786445 LCD786445 LLZ786445 LVV786445 MFR786445 MPN786445 MZJ786445 NJF786445 NTB786445 OCX786445 OMT786445 OWP786445 PGL786445 PQH786445 QAD786445 QJZ786445 QTV786445 RDR786445 RNN786445 RXJ786445 SHF786445 SRB786445 TAX786445 TKT786445 TUP786445 UEL786445 UOH786445 UYD786445 VHZ786445 VRV786445 WBR786445 WLN786445 WVJ786445 B851981 IX851981 ST851981 ACP851981 AML851981 AWH851981 BGD851981 BPZ851981 BZV851981 CJR851981 CTN851981 DDJ851981 DNF851981 DXB851981 EGX851981 EQT851981 FAP851981 FKL851981 FUH851981 GED851981 GNZ851981 GXV851981 HHR851981 HRN851981 IBJ851981 ILF851981 IVB851981 JEX851981 JOT851981 JYP851981 KIL851981 KSH851981 LCD851981 LLZ851981 LVV851981 MFR851981 MPN851981 MZJ851981 NJF851981 NTB851981 OCX851981 OMT851981 OWP851981 PGL851981 PQH851981 QAD851981 QJZ851981 QTV851981 RDR851981 RNN851981 RXJ851981 SHF851981 SRB851981 TAX851981 TKT851981 TUP851981 UEL851981 UOH851981 UYD851981 VHZ851981 VRV851981 WBR851981 WLN851981 WVJ851981 B917517 IX917517 ST917517 ACP917517 AML917517 AWH917517 BGD917517 BPZ917517 BZV917517 CJR917517 CTN917517 DDJ917517 DNF917517 DXB917517 EGX917517 EQT917517 FAP917517 FKL917517 FUH917517 GED917517 GNZ917517 GXV917517 HHR917517 HRN917517 IBJ917517 ILF917517 IVB917517 JEX917517 JOT917517 JYP917517 KIL917517 KSH917517 LCD917517 LLZ917517 LVV917517 MFR917517 MPN917517 MZJ917517 NJF917517 NTB917517 OCX917517 OMT917517 OWP917517 PGL917517 PQH917517 QAD917517 QJZ917517 QTV917517 RDR917517 RNN917517 RXJ917517 SHF917517 SRB917517 TAX917517 TKT917517 TUP917517 UEL917517 UOH917517 UYD917517 VHZ917517 VRV917517 WBR917517 WLN917517 WVJ917517 B983053 IX983053 ST983053 ACP983053 AML983053 AWH983053 BGD983053 BPZ983053 BZV983053 CJR983053 CTN983053 DDJ983053 DNF983053 DXB983053 EGX983053 EQT983053 FAP983053 FKL983053 FUH983053 GED983053 GNZ983053 GXV983053 HHR983053 HRN983053 IBJ983053 ILF983053 IVB983053 JEX983053 JOT983053 JYP983053 KIL983053 KSH983053 LCD983053 LLZ983053 LVV983053 MFR983053 MPN983053 MZJ983053 NJF983053 NTB983053 OCX983053 OMT983053 OWP983053 PGL983053 PQH983053 QAD983053 QJZ983053 QTV983053 RDR983053 RNN983053 RXJ983053 SHF983053 SRB983053 TAX983053 TKT983053 TUP983053 UEL983053 UOH983053 UYD983053 VHZ983053 VRV983053 WBR983053 WLN983053 WVJ983053">
      <formula1>"Edificações, Fornecimento de Materiais e Equipamentos, Redes de Água, Esgoto ou Correlatas, Rodovias e Ferrovias, Portuárias, Marítimas e Fluviais,"</formula1>
    </dataValidation>
  </dataValidations>
  <printOptions horizontalCentered="1"/>
  <pageMargins left="0.39370078740157483" right="0.39370078740157483" top="0.78740157480314965" bottom="0.39370078740157483" header="0.39370078740157483" footer="0.51181102362204722"/>
  <pageSetup paperSize="9" scale="107"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tabSelected="1" view="pageBreakPreview" zoomScale="110" zoomScaleNormal="100" zoomScaleSheetLayoutView="110" workbookViewId="0">
      <selection activeCell="C10" sqref="C10"/>
    </sheetView>
  </sheetViews>
  <sheetFormatPr defaultRowHeight="15" x14ac:dyDescent="0.25"/>
  <cols>
    <col min="3" max="3" width="52" customWidth="1"/>
  </cols>
  <sheetData>
    <row r="1" spans="1:7" x14ac:dyDescent="0.25">
      <c r="A1" s="337" t="s">
        <v>353</v>
      </c>
      <c r="B1" s="338"/>
      <c r="C1" s="201" t="s">
        <v>345</v>
      </c>
      <c r="D1" s="202" t="s">
        <v>346</v>
      </c>
      <c r="E1" s="203" t="s">
        <v>347</v>
      </c>
      <c r="F1" s="202" t="s">
        <v>348</v>
      </c>
      <c r="G1" s="202" t="s">
        <v>8</v>
      </c>
    </row>
    <row r="2" spans="1:7" x14ac:dyDescent="0.25">
      <c r="A2" s="204" t="s">
        <v>349</v>
      </c>
      <c r="B2" s="204">
        <v>90776</v>
      </c>
      <c r="C2" s="205" t="s">
        <v>350</v>
      </c>
      <c r="D2" s="204" t="s">
        <v>351</v>
      </c>
      <c r="E2" s="206">
        <v>80</v>
      </c>
      <c r="F2" s="207">
        <v>32.25</v>
      </c>
      <c r="G2" s="208">
        <f>F2*E2</f>
        <v>2580</v>
      </c>
    </row>
    <row r="3" spans="1:7" ht="27" x14ac:dyDescent="0.25">
      <c r="A3" s="204" t="s">
        <v>349</v>
      </c>
      <c r="B3" s="204">
        <v>90778</v>
      </c>
      <c r="C3" s="205" t="s">
        <v>352</v>
      </c>
      <c r="D3" s="204" t="s">
        <v>351</v>
      </c>
      <c r="E3" s="206">
        <v>40</v>
      </c>
      <c r="F3" s="207">
        <v>80.88</v>
      </c>
      <c r="G3" s="208">
        <f>F3*E3</f>
        <v>3235.2</v>
      </c>
    </row>
    <row r="4" spans="1:7" x14ac:dyDescent="0.25">
      <c r="A4" s="339"/>
      <c r="B4" s="339"/>
      <c r="C4" s="339"/>
      <c r="D4" s="209"/>
      <c r="E4" s="210"/>
      <c r="F4" s="211"/>
      <c r="G4" s="212">
        <f>SUM(G2:G3)</f>
        <v>5815.2</v>
      </c>
    </row>
  </sheetData>
  <mergeCells count="2">
    <mergeCell ref="A1:B1"/>
    <mergeCell ref="A4:C4"/>
  </mergeCells>
  <conditionalFormatting sqref="G4">
    <cfRule type="expression" dxfId="19" priority="19" stopIfTrue="1">
      <formula>AND(#REF!&lt;&gt;"COMPOSICAO",#REF!&lt;&gt;"INSUMO",#REF!&lt;&gt;"")</formula>
    </cfRule>
    <cfRule type="expression" dxfId="18" priority="20" stopIfTrue="1">
      <formula>AND(OR(#REF!="COMPOSICAO",#REF!="INSUMO",#REF!&lt;&gt;""),#REF!&lt;&gt;"")</formula>
    </cfRule>
  </conditionalFormatting>
  <conditionalFormatting sqref="D4:F4 C1:D1">
    <cfRule type="expression" dxfId="17" priority="17" stopIfTrue="1">
      <formula>AND(#REF!&lt;&gt;"COMPOSICAO",#REF!&lt;&gt;"INSUMO",#REF!&lt;&gt;"")</formula>
    </cfRule>
    <cfRule type="expression" dxfId="16" priority="18" stopIfTrue="1">
      <formula>AND(OR(#REF!="COMPOSICAO",#REF!="INSUMO",#REF!&lt;&gt;""),#REF!&lt;&gt;"")</formula>
    </cfRule>
  </conditionalFormatting>
  <conditionalFormatting sqref="E1:G1">
    <cfRule type="expression" dxfId="15" priority="15" stopIfTrue="1">
      <formula>AND(#REF!&lt;&gt;"COMPOSICAO",#REF!&lt;&gt;"INSUMO",#REF!&lt;&gt;"")</formula>
    </cfRule>
    <cfRule type="expression" dxfId="14" priority="16" stopIfTrue="1">
      <formula>AND(OR(#REF!="COMPOSICAO",#REF!="INSUMO",#REF!&lt;&gt;""),#REF!&lt;&gt;"")</formula>
    </cfRule>
  </conditionalFormatting>
  <conditionalFormatting sqref="B4:C4">
    <cfRule type="expression" dxfId="13" priority="13" stopIfTrue="1">
      <formula>AND(#REF!&lt;&gt;"COMPOSICAO",#REF!&lt;&gt;"INSUMO",#REF!&lt;&gt;"")</formula>
    </cfRule>
    <cfRule type="expression" dxfId="12" priority="14" stopIfTrue="1">
      <formula>AND(OR(#REF!="COMPOSICAO",#REF!="INSUMO",#REF!&lt;&gt;""),#REF!&lt;&gt;"")</formula>
    </cfRule>
  </conditionalFormatting>
  <conditionalFormatting sqref="G3">
    <cfRule type="expression" dxfId="11" priority="11" stopIfTrue="1">
      <formula>AND(#REF!&lt;&gt;"COMPOSICAO",#REF!&lt;&gt;"INSUMO",#REF!&lt;&gt;"")</formula>
    </cfRule>
    <cfRule type="expression" dxfId="10" priority="12" stopIfTrue="1">
      <formula>AND(OR(#REF!="COMPOSICAO",#REF!="INSUMO",#REF!&lt;&gt;""),#REF!&lt;&gt;"")</formula>
    </cfRule>
  </conditionalFormatting>
  <conditionalFormatting sqref="B3:C3 E3">
    <cfRule type="expression" dxfId="9" priority="9" stopIfTrue="1">
      <formula>AND(#REF!&lt;&gt;"COMPOSICAO",#REF!&lt;&gt;"INSUMO",#REF!&lt;&gt;"")</formula>
    </cfRule>
    <cfRule type="expression" dxfId="8" priority="10" stopIfTrue="1">
      <formula>AND(OR(#REF!="COMPOSICAO",#REF!="INSUMO",#REF!&lt;&gt;""),#REF!&lt;&gt;"")</formula>
    </cfRule>
  </conditionalFormatting>
  <conditionalFormatting sqref="F3">
    <cfRule type="expression" dxfId="7" priority="7" stopIfTrue="1">
      <formula>AND(#REF!&lt;&gt;"COMPOSICAO",#REF!&lt;&gt;"INSUMO",#REF!&lt;&gt;"")</formula>
    </cfRule>
    <cfRule type="expression" dxfId="6" priority="8" stopIfTrue="1">
      <formula>AND(OR(#REF!="COMPOSICAO",#REF!="INSUMO",#REF!&lt;&gt;""),#REF!&lt;&gt;"")</formula>
    </cfRule>
  </conditionalFormatting>
  <conditionalFormatting sqref="G2">
    <cfRule type="expression" dxfId="5" priority="5" stopIfTrue="1">
      <formula>AND(#REF!&lt;&gt;"COMPOSICAO",#REF!&lt;&gt;"INSUMO",#REF!&lt;&gt;"")</formula>
    </cfRule>
    <cfRule type="expression" dxfId="4" priority="6" stopIfTrue="1">
      <formula>AND(OR(#REF!="COMPOSICAO",#REF!="INSUMO",#REF!&lt;&gt;""),#REF!&lt;&gt;"")</formula>
    </cfRule>
  </conditionalFormatting>
  <conditionalFormatting sqref="B2:E2 D3">
    <cfRule type="expression" dxfId="3" priority="1" stopIfTrue="1">
      <formula>AND(#REF!&lt;&gt;"COMPOSICAO",#REF!&lt;&gt;"INSUMO",#REF!&lt;&gt;"")</formula>
    </cfRule>
    <cfRule type="expression" dxfId="2" priority="2" stopIfTrue="1">
      <formula>AND(OR(#REF!="COMPOSICAO",#REF!="INSUMO",#REF!&lt;&gt;""),#REF!&lt;&gt;"")</formula>
    </cfRule>
  </conditionalFormatting>
  <conditionalFormatting sqref="F2">
    <cfRule type="expression" dxfId="1" priority="3" stopIfTrue="1">
      <formula>AND(#REF!&lt;&gt;"COMPOSICAO",#REF!&lt;&gt;"INSUMO",#REF!&lt;&gt;"")</formula>
    </cfRule>
    <cfRule type="expression" dxfId="0" priority="4" stopIfTrue="1">
      <formula>AND(OR(#REF!="COMPOSICAO",#REF!="INSUMO",#REF!&lt;&gt;""),#REF!&lt;&gt;"")</formula>
    </cfRule>
  </conditionalFormatting>
  <pageMargins left="0.511811024" right="0.511811024" top="1.6145833333333333" bottom="0.78740157499999996" header="0.31496062000000002" footer="0.31496062000000002"/>
  <pageSetup paperSize="9" orientation="landscape" r:id="rId1"/>
  <headerFooter>
    <oddHeader xml:space="preserve">&amp;C&amp;G
</oddHeader>
    <oddFooter>&amp;C&amp;"-,Itálico"Rua Elias Estevão Colnago, nº 65 – Centro - Itarana/ES
 CEP 29620-000    Tel.: (27) 3720-4900&amp;R____________________________
Igor Alves Folador Dominicini
Engenheiro CIvil - CREA ES-043213/D</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8</vt:i4>
      </vt:variant>
    </vt:vector>
  </HeadingPairs>
  <TitlesOfParts>
    <vt:vector size="15" baseType="lpstr">
      <vt:lpstr>Resumo</vt:lpstr>
      <vt:lpstr>PLANILHA ORÇAMENTÁRIA</vt:lpstr>
      <vt:lpstr>PLANILHA QUANTITATIVA</vt:lpstr>
      <vt:lpstr>CRONOGRAMA FÍSICO-FINANCEIRO</vt:lpstr>
      <vt:lpstr>TABELA RESUMO</vt:lpstr>
      <vt:lpstr>Detalhamento do BDI</vt:lpstr>
      <vt:lpstr>COMPOSIÇÕES</vt:lpstr>
      <vt:lpstr>'CRONOGRAMA FÍSICO-FINANCEIRO'!Area_de_impressao</vt:lpstr>
      <vt:lpstr>'Detalhamento do BDI'!Area_de_impressao</vt:lpstr>
      <vt:lpstr>'PLANILHA ORÇAMENTÁRIA'!Area_de_impressao</vt:lpstr>
      <vt:lpstr>'PLANILHA QUANTITATIVA'!Area_de_impressao</vt:lpstr>
      <vt:lpstr>Resumo!Area_de_impressao</vt:lpstr>
      <vt:lpstr>'PLANILHA ORÇAMENTÁRIA'!Titulos_de_impressao</vt:lpstr>
      <vt:lpstr>'PLANILHA QUANTITATIVA'!Titulos_de_impressao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Dominicini</dc:creator>
  <cp:lastModifiedBy>Igor Dominicini</cp:lastModifiedBy>
  <cp:lastPrinted>2018-10-23T11:02:12Z</cp:lastPrinted>
  <dcterms:created xsi:type="dcterms:W3CDTF">2018-03-23T16:03:59Z</dcterms:created>
  <dcterms:modified xsi:type="dcterms:W3CDTF">2018-10-23T11:07:27Z</dcterms:modified>
</cp:coreProperties>
</file>